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GADMLI\Desktop\respaldo jesica\PLANIFICACION_2023\SIGAD 2022\POA2022\"/>
    </mc:Choice>
  </mc:AlternateContent>
  <xr:revisionPtr revIDLastSave="0" documentId="13_ncr:1_{96F650E4-5908-449E-BAC3-836EFA8410F8}" xr6:coauthVersionLast="47" xr6:coauthVersionMax="47" xr10:uidLastSave="{00000000-0000-0000-0000-000000000000}"/>
  <bookViews>
    <workbookView xWindow="180" yWindow="0" windowWidth="13440" windowHeight="15600" firstSheet="11" activeTab="12" xr2:uid="{00000000-000D-0000-FFFF-FFFF00000000}"/>
  </bookViews>
  <sheets>
    <sheet name="DIRECCIÓN ADMINISTRATIVA" sheetId="5" r:id="rId1"/>
    <sheet name="COMUNICACION" sheetId="6" r:id="rId2"/>
    <sheet name="JUNTA CANTONAL" sheetId="7" r:id="rId3"/>
    <sheet name="PLANIFICACION Y RIESGOS" sheetId="8" r:id="rId4"/>
    <sheet name="DESARROLLO SOCIAL" sheetId="9" r:id="rId5"/>
    <sheet name="AMBIENTE Y FOMENTO" sheetId="10" r:id="rId6"/>
    <sheet name="OBRAS PUBLICAS" sheetId="11" r:id="rId7"/>
    <sheet name="COMISARIA" sheetId="12" r:id="rId8"/>
    <sheet name="FINANCIERO" sheetId="13" r:id="rId9"/>
    <sheet name="AGUA" sheetId="14" r:id="rId10"/>
    <sheet name="ALCANTARILLADO" sheetId="15" r:id="rId11"/>
    <sheet name=" UECTD" sheetId="16" r:id="rId12"/>
    <sheet name="UNIDAD DE PROYECTOS" sheetId="17" r:id="rId13"/>
  </sheets>
  <externalReferences>
    <externalReference r:id="rId14"/>
    <externalReference r:id="rId15"/>
    <externalReference r:id="rId16"/>
    <externalReference r:id="rId17"/>
  </externalReferences>
  <definedNames>
    <definedName name="_xlnm._FilterDatabase" localSheetId="5" hidden="1">'AMBIENTE Y FOMENTO'!$E$1:$E$196</definedName>
    <definedName name="_xlnm.Print_Area" localSheetId="0">'DIRECCIÓN ADMINISTRATIVA'!$A$36:$R$85</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7" l="1"/>
  <c r="I102" i="16" l="1"/>
  <c r="H102" i="16"/>
  <c r="Z101" i="16"/>
  <c r="Z98" i="16"/>
  <c r="G94" i="16"/>
  <c r="Z85" i="16" s="1"/>
  <c r="Z102" i="16" s="1"/>
  <c r="X82" i="16"/>
  <c r="W82" i="16"/>
  <c r="Y82" i="16" s="1"/>
  <c r="X81" i="16"/>
  <c r="W81" i="16"/>
  <c r="Y81" i="16" s="1"/>
  <c r="X80" i="16"/>
  <c r="W80" i="16"/>
  <c r="Y80" i="16" s="1"/>
  <c r="Y79" i="16"/>
  <c r="X79" i="16"/>
  <c r="W79" i="16"/>
  <c r="Z72" i="16"/>
  <c r="G71" i="16"/>
  <c r="I71" i="16" s="1"/>
  <c r="X70" i="16"/>
  <c r="Y70" i="16" s="1"/>
  <c r="I70" i="16"/>
  <c r="W69" i="16"/>
  <c r="I69" i="16"/>
  <c r="G69" i="16"/>
  <c r="Y69" i="16" s="1"/>
  <c r="G67" i="16"/>
  <c r="G84" i="16" s="1"/>
  <c r="Y66" i="16"/>
  <c r="X66" i="16"/>
  <c r="Y65" i="16"/>
  <c r="V65" i="16"/>
  <c r="Z59" i="16"/>
  <c r="Y56" i="16"/>
  <c r="W56" i="16"/>
  <c r="Y55" i="16"/>
  <c r="W55" i="16"/>
  <c r="Z54" i="16"/>
  <c r="X54" i="16"/>
  <c r="W54" i="16"/>
  <c r="Y54" i="16" s="1"/>
  <c r="Y53" i="16"/>
  <c r="X53" i="16"/>
  <c r="Y51" i="16"/>
  <c r="X51" i="16"/>
  <c r="Y50" i="16"/>
  <c r="X50" i="16"/>
  <c r="W50" i="16"/>
  <c r="G48" i="16"/>
  <c r="Y47" i="16"/>
  <c r="I47" i="16"/>
  <c r="Y46" i="16"/>
  <c r="Y38" i="16"/>
  <c r="V38" i="16"/>
  <c r="X37" i="16"/>
  <c r="V37" i="16"/>
  <c r="W37" i="16" s="1"/>
  <c r="Y37" i="16" s="1"/>
  <c r="U37" i="16"/>
  <c r="X36" i="16"/>
  <c r="V36" i="16"/>
  <c r="U36" i="16"/>
  <c r="Y35" i="16"/>
  <c r="Y28" i="16"/>
  <c r="V27" i="16"/>
  <c r="Y27" i="16" s="1"/>
  <c r="Z26" i="16"/>
  <c r="Y26" i="16"/>
  <c r="Y25" i="16"/>
  <c r="X25" i="16"/>
  <c r="X24" i="16"/>
  <c r="Y24" i="16" s="1"/>
  <c r="X23" i="16"/>
  <c r="Y23" i="16" s="1"/>
  <c r="Y22" i="16"/>
  <c r="X22" i="16"/>
  <c r="G21" i="16"/>
  <c r="I21" i="16" s="1"/>
  <c r="I20" i="16"/>
  <c r="Z19" i="16"/>
  <c r="W19" i="16"/>
  <c r="Y19" i="16" s="1"/>
  <c r="I19" i="16"/>
  <c r="G18" i="16"/>
  <c r="I15" i="16"/>
  <c r="X21" i="16" l="1"/>
  <c r="Y21" i="16" s="1"/>
  <c r="Y71" i="16"/>
  <c r="W36" i="16"/>
  <c r="Y36" i="16" s="1"/>
  <c r="G102" i="16"/>
  <c r="G39" i="16"/>
  <c r="G40" i="16" s="1"/>
  <c r="G103" i="16" l="1"/>
  <c r="P41" i="15" l="1"/>
  <c r="O41" i="15"/>
  <c r="N41" i="15"/>
  <c r="Q41" i="15" s="1"/>
  <c r="M41" i="15"/>
  <c r="P40" i="15"/>
  <c r="Q40" i="15" s="1"/>
  <c r="O40" i="15"/>
  <c r="N40" i="15"/>
  <c r="M40" i="15"/>
  <c r="P39" i="15"/>
  <c r="O39" i="15"/>
  <c r="N39" i="15"/>
  <c r="Q39" i="15" s="1"/>
  <c r="M39" i="15"/>
  <c r="Q38" i="15"/>
  <c r="P38" i="15"/>
  <c r="O38" i="15"/>
  <c r="N38" i="15"/>
  <c r="M38" i="15"/>
  <c r="I38" i="15"/>
  <c r="P37" i="15"/>
  <c r="Q37" i="15" s="1"/>
  <c r="O37" i="15"/>
  <c r="N37" i="15"/>
  <c r="M37" i="15"/>
  <c r="P36" i="15"/>
  <c r="O36" i="15"/>
  <c r="N36" i="15"/>
  <c r="Q36" i="15" s="1"/>
  <c r="M36" i="15"/>
  <c r="Q35" i="15"/>
  <c r="P35" i="15"/>
  <c r="O35" i="15"/>
  <c r="N35" i="15"/>
  <c r="M35" i="15"/>
  <c r="P34" i="15"/>
  <c r="O34" i="15"/>
  <c r="N34" i="15"/>
  <c r="Q34" i="15" s="1"/>
  <c r="M34" i="15"/>
  <c r="P33" i="15"/>
  <c r="O33" i="15"/>
  <c r="N33" i="15"/>
  <c r="Q33" i="15" s="1"/>
  <c r="M33" i="15"/>
  <c r="Q32" i="15"/>
  <c r="P32" i="15"/>
  <c r="O32" i="15"/>
  <c r="N32" i="15"/>
  <c r="M32" i="15"/>
  <c r="P31" i="15"/>
  <c r="O31" i="15"/>
  <c r="N31" i="15"/>
  <c r="Q31" i="15" s="1"/>
  <c r="M31" i="15"/>
  <c r="P30" i="15"/>
  <c r="O30" i="15"/>
  <c r="N30" i="15"/>
  <c r="Q30" i="15" s="1"/>
  <c r="M30" i="15"/>
  <c r="P29" i="15"/>
  <c r="Q29" i="15" s="1"/>
  <c r="O29" i="15"/>
  <c r="N29" i="15"/>
  <c r="M29" i="15"/>
  <c r="P28" i="15"/>
  <c r="O28" i="15"/>
  <c r="N28" i="15"/>
  <c r="Q28" i="15" s="1"/>
  <c r="M28" i="15"/>
  <c r="Q26" i="15"/>
  <c r="P26" i="15"/>
  <c r="O26" i="15"/>
  <c r="N26" i="15"/>
  <c r="M26" i="15"/>
  <c r="P25" i="15"/>
  <c r="O25" i="15"/>
  <c r="N25" i="15"/>
  <c r="Q25" i="15" s="1"/>
  <c r="M25" i="15"/>
  <c r="P24" i="15"/>
  <c r="O24" i="15"/>
  <c r="N24" i="15"/>
  <c r="Q24" i="15" s="1"/>
  <c r="M24" i="15"/>
  <c r="Q23" i="15"/>
  <c r="P23" i="15"/>
  <c r="O23" i="15"/>
  <c r="N23" i="15"/>
  <c r="M23" i="15"/>
  <c r="P22" i="15"/>
  <c r="O22" i="15"/>
  <c r="N22" i="15"/>
  <c r="Q22" i="15" s="1"/>
  <c r="M22" i="15"/>
  <c r="P21" i="15"/>
  <c r="O21" i="15"/>
  <c r="N21" i="15"/>
  <c r="Q21" i="15" s="1"/>
  <c r="M21" i="15"/>
  <c r="P20" i="15"/>
  <c r="Q20" i="15" s="1"/>
  <c r="O20" i="15"/>
  <c r="N20" i="15"/>
  <c r="M20" i="15"/>
  <c r="N19" i="15"/>
  <c r="M19" i="15"/>
  <c r="G19" i="15"/>
  <c r="P19" i="15" s="1"/>
  <c r="P18" i="15"/>
  <c r="O18" i="15"/>
  <c r="N18" i="15"/>
  <c r="Q18" i="15" s="1"/>
  <c r="M18" i="15"/>
  <c r="P17" i="15"/>
  <c r="O17" i="15"/>
  <c r="M17" i="15"/>
  <c r="G17" i="15"/>
  <c r="G42" i="15" s="1"/>
  <c r="P16" i="15"/>
  <c r="O16" i="15"/>
  <c r="N16" i="15"/>
  <c r="Q16" i="15" s="1"/>
  <c r="M16" i="15"/>
  <c r="P15" i="15"/>
  <c r="O15" i="15"/>
  <c r="N15" i="15"/>
  <c r="Q15" i="15" s="1"/>
  <c r="M15" i="15"/>
  <c r="P14" i="15"/>
  <c r="Q14" i="15" s="1"/>
  <c r="O14" i="15"/>
  <c r="N14" i="15"/>
  <c r="M14" i="15"/>
  <c r="P13" i="15"/>
  <c r="O13" i="15"/>
  <c r="N13" i="15"/>
  <c r="Q13" i="15" s="1"/>
  <c r="M13" i="15"/>
  <c r="Q12" i="15"/>
  <c r="P12" i="15"/>
  <c r="O12" i="15"/>
  <c r="N12" i="15"/>
  <c r="M12" i="15"/>
  <c r="P11" i="15"/>
  <c r="O11" i="15"/>
  <c r="N11" i="15"/>
  <c r="Q11" i="15" s="1"/>
  <c r="M11" i="15"/>
  <c r="P10" i="15"/>
  <c r="O10" i="15"/>
  <c r="N10" i="15"/>
  <c r="Q10" i="15" s="1"/>
  <c r="M10" i="15"/>
  <c r="L71" i="14"/>
  <c r="G71" i="14"/>
  <c r="H49" i="14"/>
  <c r="H51" i="14" s="1"/>
  <c r="G49" i="14"/>
  <c r="G48" i="14"/>
  <c r="I48" i="14" s="1"/>
  <c r="I47" i="14"/>
  <c r="I46" i="14"/>
  <c r="I45" i="14"/>
  <c r="I44" i="14"/>
  <c r="I43" i="14"/>
  <c r="I42" i="14"/>
  <c r="P40" i="14"/>
  <c r="O40" i="14"/>
  <c r="N40" i="14"/>
  <c r="Q40" i="14" s="1"/>
  <c r="M40" i="14"/>
  <c r="I40" i="14"/>
  <c r="Q39" i="14"/>
  <c r="P39" i="14"/>
  <c r="O39" i="14"/>
  <c r="N39" i="14"/>
  <c r="M39" i="14"/>
  <c r="I39" i="14"/>
  <c r="P38" i="14"/>
  <c r="Q38" i="14" s="1"/>
  <c r="O38" i="14"/>
  <c r="N38" i="14"/>
  <c r="M38" i="14"/>
  <c r="I38" i="14"/>
  <c r="P37" i="14"/>
  <c r="O37" i="14"/>
  <c r="N37" i="14"/>
  <c r="Q37" i="14" s="1"/>
  <c r="M37" i="14"/>
  <c r="I37" i="14"/>
  <c r="P36" i="14"/>
  <c r="O36" i="14"/>
  <c r="N36" i="14"/>
  <c r="Q36" i="14" s="1"/>
  <c r="M36" i="14"/>
  <c r="I36" i="14"/>
  <c r="Q35" i="14"/>
  <c r="P35" i="14"/>
  <c r="O35" i="14"/>
  <c r="N35" i="14"/>
  <c r="M35" i="14"/>
  <c r="I35" i="14"/>
  <c r="P34" i="14"/>
  <c r="Q34" i="14" s="1"/>
  <c r="O34" i="14"/>
  <c r="N34" i="14"/>
  <c r="M34" i="14"/>
  <c r="I34" i="14"/>
  <c r="P33" i="14"/>
  <c r="O33" i="14"/>
  <c r="N33" i="14"/>
  <c r="Q33" i="14" s="1"/>
  <c r="M33" i="14"/>
  <c r="I33" i="14"/>
  <c r="I32" i="14"/>
  <c r="P31" i="14"/>
  <c r="O31" i="14"/>
  <c r="N31" i="14"/>
  <c r="Q31" i="14" s="1"/>
  <c r="M31" i="14"/>
  <c r="I31" i="14"/>
  <c r="P30" i="14"/>
  <c r="O30" i="14"/>
  <c r="N30" i="14"/>
  <c r="Q30" i="14" s="1"/>
  <c r="M30" i="14"/>
  <c r="I30" i="14"/>
  <c r="Q29" i="14"/>
  <c r="P29" i="14"/>
  <c r="O29" i="14"/>
  <c r="N29" i="14"/>
  <c r="M29" i="14"/>
  <c r="I29" i="14"/>
  <c r="P28" i="14"/>
  <c r="O28" i="14"/>
  <c r="Q28" i="14" s="1"/>
  <c r="N28" i="14"/>
  <c r="M28" i="14"/>
  <c r="I28" i="14"/>
  <c r="P27" i="14"/>
  <c r="O27" i="14"/>
  <c r="N27" i="14"/>
  <c r="Q27" i="14" s="1"/>
  <c r="M27" i="14"/>
  <c r="I27" i="14"/>
  <c r="P26" i="14"/>
  <c r="O26" i="14"/>
  <c r="N26" i="14"/>
  <c r="Q26" i="14" s="1"/>
  <c r="M26" i="14"/>
  <c r="I26" i="14"/>
  <c r="Q25" i="14"/>
  <c r="P25" i="14"/>
  <c r="O25" i="14"/>
  <c r="N25" i="14"/>
  <c r="M25" i="14"/>
  <c r="I25" i="14"/>
  <c r="P24" i="14"/>
  <c r="O24" i="14"/>
  <c r="Q24" i="14" s="1"/>
  <c r="N24" i="14"/>
  <c r="M24" i="14"/>
  <c r="I24" i="14"/>
  <c r="P23" i="14"/>
  <c r="O23" i="14"/>
  <c r="N23" i="14"/>
  <c r="Q23" i="14" s="1"/>
  <c r="M23" i="14"/>
  <c r="I23" i="14"/>
  <c r="P22" i="14"/>
  <c r="O22" i="14"/>
  <c r="M22" i="14"/>
  <c r="G22" i="14"/>
  <c r="N22" i="14" s="1"/>
  <c r="Q22" i="14" s="1"/>
  <c r="P21" i="14"/>
  <c r="O21" i="14"/>
  <c r="N21" i="14"/>
  <c r="Q21" i="14" s="1"/>
  <c r="M21" i="14"/>
  <c r="I21" i="14"/>
  <c r="P20" i="14"/>
  <c r="O20" i="14"/>
  <c r="M20" i="14"/>
  <c r="I20" i="14"/>
  <c r="G20" i="14"/>
  <c r="G41" i="14" s="1"/>
  <c r="P19" i="14"/>
  <c r="O19" i="14"/>
  <c r="Q19" i="14" s="1"/>
  <c r="N19" i="14"/>
  <c r="M19" i="14"/>
  <c r="I19" i="14"/>
  <c r="P18" i="14"/>
  <c r="O18" i="14"/>
  <c r="N18" i="14"/>
  <c r="Q18" i="14" s="1"/>
  <c r="M18" i="14"/>
  <c r="I18" i="14"/>
  <c r="P17" i="14"/>
  <c r="O17" i="14"/>
  <c r="N17" i="14"/>
  <c r="Q17" i="14" s="1"/>
  <c r="M17" i="14"/>
  <c r="I17" i="14"/>
  <c r="Q16" i="14"/>
  <c r="P16" i="14"/>
  <c r="O16" i="14"/>
  <c r="N16" i="14"/>
  <c r="M16" i="14"/>
  <c r="I16" i="14"/>
  <c r="P15" i="14"/>
  <c r="O15" i="14"/>
  <c r="Q15" i="14" s="1"/>
  <c r="N15" i="14"/>
  <c r="M15" i="14"/>
  <c r="I15" i="14"/>
  <c r="I14" i="14"/>
  <c r="I13" i="14"/>
  <c r="I12" i="14"/>
  <c r="P11" i="14"/>
  <c r="Q11" i="14" s="1"/>
  <c r="O11" i="14"/>
  <c r="N11" i="14"/>
  <c r="M11" i="14"/>
  <c r="I11" i="14"/>
  <c r="P10" i="14"/>
  <c r="O10" i="14"/>
  <c r="N10" i="14"/>
  <c r="Q10" i="14" s="1"/>
  <c r="M10" i="14"/>
  <c r="I10" i="14"/>
  <c r="P9" i="14"/>
  <c r="O9" i="14"/>
  <c r="N9" i="14"/>
  <c r="Q9" i="14" s="1"/>
  <c r="M9" i="14"/>
  <c r="I9" i="14"/>
  <c r="O19" i="15" l="1"/>
  <c r="Q19" i="15" s="1"/>
  <c r="N17" i="15"/>
  <c r="Q17" i="15" s="1"/>
  <c r="I49" i="14"/>
  <c r="G51" i="14"/>
  <c r="I51" i="14" s="1"/>
  <c r="I22" i="14"/>
  <c r="N20" i="14"/>
  <c r="Q20" i="14" s="1"/>
  <c r="G52" i="13" l="1"/>
  <c r="G28" i="12"/>
  <c r="O27" i="12"/>
  <c r="N27" i="12"/>
  <c r="M27" i="12"/>
  <c r="L27" i="12"/>
  <c r="K27" i="12"/>
  <c r="N26" i="12"/>
  <c r="O26" i="12" s="1"/>
  <c r="M26" i="12"/>
  <c r="L26" i="12"/>
  <c r="K26" i="12"/>
  <c r="N25" i="12"/>
  <c r="M25" i="12"/>
  <c r="L25" i="12"/>
  <c r="O25" i="12" s="1"/>
  <c r="K25" i="12"/>
  <c r="N24" i="12"/>
  <c r="M24" i="12"/>
  <c r="L24" i="12"/>
  <c r="O24" i="12" s="1"/>
  <c r="K24" i="12"/>
  <c r="N23" i="12"/>
  <c r="M23" i="12"/>
  <c r="L23" i="12"/>
  <c r="O23" i="12" s="1"/>
  <c r="K23" i="12"/>
  <c r="N22" i="12"/>
  <c r="M22" i="12"/>
  <c r="L22" i="12"/>
  <c r="O22" i="12" s="1"/>
  <c r="K22" i="12"/>
  <c r="O21" i="12"/>
  <c r="N21" i="12"/>
  <c r="M21" i="12"/>
  <c r="L21" i="12"/>
  <c r="K21" i="12"/>
  <c r="G136" i="11" l="1"/>
  <c r="AR134" i="11"/>
  <c r="H133" i="11"/>
  <c r="H135" i="11" s="1"/>
  <c r="P132" i="11"/>
  <c r="O132" i="11"/>
  <c r="N132" i="11"/>
  <c r="Q132" i="11" s="1"/>
  <c r="M132" i="11"/>
  <c r="G132" i="11"/>
  <c r="I132" i="11" s="1"/>
  <c r="P131" i="11"/>
  <c r="O131" i="11"/>
  <c r="N131" i="11"/>
  <c r="Q131" i="11" s="1"/>
  <c r="M131" i="11"/>
  <c r="I131" i="11"/>
  <c r="P130" i="11"/>
  <c r="O130" i="11"/>
  <c r="N130" i="11"/>
  <c r="Q130" i="11" s="1"/>
  <c r="M130" i="11"/>
  <c r="G130" i="11"/>
  <c r="N121" i="11" s="1"/>
  <c r="Q121" i="11" s="1"/>
  <c r="M129" i="11"/>
  <c r="I129" i="11"/>
  <c r="G129" i="11"/>
  <c r="P129" i="11" s="1"/>
  <c r="G128" i="11"/>
  <c r="I128" i="11" s="1"/>
  <c r="I127" i="11"/>
  <c r="I126" i="11"/>
  <c r="O125" i="11"/>
  <c r="N125" i="11"/>
  <c r="M125" i="11"/>
  <c r="I125" i="11"/>
  <c r="G125" i="11"/>
  <c r="P125" i="11" s="1"/>
  <c r="I124" i="11"/>
  <c r="I123" i="11"/>
  <c r="G122" i="11"/>
  <c r="G133" i="11" s="1"/>
  <c r="P121" i="11"/>
  <c r="O121" i="11"/>
  <c r="M121" i="11"/>
  <c r="I120" i="11"/>
  <c r="I119" i="11"/>
  <c r="I118" i="11"/>
  <c r="I117" i="11"/>
  <c r="I116" i="11"/>
  <c r="I115" i="11"/>
  <c r="I114" i="11"/>
  <c r="I113" i="11"/>
  <c r="I112" i="11"/>
  <c r="AI111" i="11"/>
  <c r="I111" i="11"/>
  <c r="I110" i="11"/>
  <c r="I109" i="11"/>
  <c r="I108" i="11"/>
  <c r="I107" i="11"/>
  <c r="I106" i="11"/>
  <c r="I105" i="11"/>
  <c r="I104" i="11"/>
  <c r="G104" i="11"/>
  <c r="I103" i="11"/>
  <c r="G103" i="11"/>
  <c r="I102" i="11"/>
  <c r="G102" i="11"/>
  <c r="G101" i="11"/>
  <c r="I101" i="11" s="1"/>
  <c r="G100" i="11"/>
  <c r="I100" i="11" s="1"/>
  <c r="I99" i="11"/>
  <c r="G99" i="11"/>
  <c r="G121" i="11" s="1"/>
  <c r="I96" i="11"/>
  <c r="G96" i="11"/>
  <c r="I95" i="11"/>
  <c r="G94" i="11"/>
  <c r="G97" i="11" s="1"/>
  <c r="I92" i="11"/>
  <c r="I91" i="11"/>
  <c r="P90" i="11"/>
  <c r="O90" i="11"/>
  <c r="N90" i="11"/>
  <c r="Q90" i="11" s="1"/>
  <c r="M90" i="11"/>
  <c r="I90" i="11"/>
  <c r="I89" i="11"/>
  <c r="I88" i="11"/>
  <c r="P87" i="11"/>
  <c r="O87" i="11"/>
  <c r="N87" i="11"/>
  <c r="Q87" i="11" s="1"/>
  <c r="M87" i="11"/>
  <c r="I87" i="11"/>
  <c r="P86" i="11"/>
  <c r="O86" i="11"/>
  <c r="Q86" i="11" s="1"/>
  <c r="N86" i="11"/>
  <c r="M86" i="11"/>
  <c r="I86" i="11"/>
  <c r="P85" i="11"/>
  <c r="Q85" i="11" s="1"/>
  <c r="O85" i="11"/>
  <c r="N85" i="11"/>
  <c r="M85" i="11"/>
  <c r="I85" i="11"/>
  <c r="I84" i="11"/>
  <c r="Q83" i="11"/>
  <c r="P83" i="11"/>
  <c r="O83" i="11"/>
  <c r="N83" i="11"/>
  <c r="M83" i="11"/>
  <c r="I83" i="11"/>
  <c r="I82" i="11"/>
  <c r="P81" i="11"/>
  <c r="O81" i="11"/>
  <c r="N81" i="11"/>
  <c r="Q81" i="11" s="1"/>
  <c r="M81" i="11"/>
  <c r="I81" i="11"/>
  <c r="P80" i="11"/>
  <c r="O80" i="11"/>
  <c r="N80" i="11"/>
  <c r="Q80" i="11" s="1"/>
  <c r="M80" i="11"/>
  <c r="I80" i="11"/>
  <c r="P79" i="11"/>
  <c r="O79" i="11"/>
  <c r="Q79" i="11" s="1"/>
  <c r="N79" i="11"/>
  <c r="M79" i="11"/>
  <c r="I79" i="11"/>
  <c r="P78" i="11"/>
  <c r="Q78" i="11" s="1"/>
  <c r="O78" i="11"/>
  <c r="N78" i="11"/>
  <c r="M78" i="11"/>
  <c r="I78" i="11"/>
  <c r="P77" i="11"/>
  <c r="O77" i="11"/>
  <c r="N77" i="11"/>
  <c r="Q77" i="11" s="1"/>
  <c r="M77" i="11"/>
  <c r="I77" i="11"/>
  <c r="P76" i="11"/>
  <c r="O76" i="11"/>
  <c r="N76" i="11"/>
  <c r="Q76" i="11" s="1"/>
  <c r="M76" i="11"/>
  <c r="I76" i="11"/>
  <c r="P75" i="11"/>
  <c r="O75" i="11"/>
  <c r="Q75" i="11" s="1"/>
  <c r="N75" i="11"/>
  <c r="M75" i="11"/>
  <c r="I75" i="11"/>
  <c r="P74" i="11"/>
  <c r="O74" i="11"/>
  <c r="N74" i="11"/>
  <c r="Q74" i="11" s="1"/>
  <c r="M74" i="11"/>
  <c r="I74" i="11"/>
  <c r="P73" i="11"/>
  <c r="O73" i="11"/>
  <c r="N73" i="11"/>
  <c r="Q73" i="11" s="1"/>
  <c r="M73" i="11"/>
  <c r="I73" i="11"/>
  <c r="O72" i="11"/>
  <c r="N72" i="11"/>
  <c r="M72" i="11"/>
  <c r="I72" i="11"/>
  <c r="G72" i="11"/>
  <c r="P72" i="11" s="1"/>
  <c r="I71" i="11"/>
  <c r="I70" i="11"/>
  <c r="I69" i="11"/>
  <c r="I68" i="11"/>
  <c r="G68" i="11"/>
  <c r="G67" i="11"/>
  <c r="I67" i="11" s="1"/>
  <c r="I66" i="11"/>
  <c r="I65" i="11"/>
  <c r="I64" i="11"/>
  <c r="I63" i="11"/>
  <c r="I62" i="11"/>
  <c r="I61" i="11"/>
  <c r="G61" i="11"/>
  <c r="I60" i="11"/>
  <c r="G60" i="11"/>
  <c r="I59" i="11"/>
  <c r="I58" i="11"/>
  <c r="G58" i="11"/>
  <c r="I57" i="11"/>
  <c r="G57" i="11"/>
  <c r="P56" i="11"/>
  <c r="O56" i="11"/>
  <c r="N56" i="11"/>
  <c r="Q56" i="11" s="1"/>
  <c r="M56" i="11"/>
  <c r="G56" i="11"/>
  <c r="O40" i="11" s="1"/>
  <c r="M55" i="11"/>
  <c r="P54" i="11"/>
  <c r="O54" i="11"/>
  <c r="N54" i="11"/>
  <c r="Q54" i="11" s="1"/>
  <c r="M54" i="11"/>
  <c r="I54" i="11"/>
  <c r="I53" i="11"/>
  <c r="I52" i="11"/>
  <c r="P51" i="11"/>
  <c r="O51" i="11"/>
  <c r="N51" i="11"/>
  <c r="Q51" i="11" s="1"/>
  <c r="M51" i="11"/>
  <c r="I51" i="11"/>
  <c r="I50" i="11"/>
  <c r="I49" i="11"/>
  <c r="G48" i="11"/>
  <c r="I48" i="11" s="1"/>
  <c r="I47" i="11"/>
  <c r="G47" i="11"/>
  <c r="I46" i="11"/>
  <c r="G46" i="11"/>
  <c r="I45" i="11"/>
  <c r="G45" i="11"/>
  <c r="G44" i="11"/>
  <c r="G55" i="11" s="1"/>
  <c r="P43" i="11"/>
  <c r="O43" i="11"/>
  <c r="Q43" i="11" s="1"/>
  <c r="N43" i="11"/>
  <c r="M43" i="11"/>
  <c r="I43" i="11"/>
  <c r="G43" i="11"/>
  <c r="I41" i="11"/>
  <c r="P40" i="11"/>
  <c r="M40" i="11"/>
  <c r="I40" i="11"/>
  <c r="P39" i="11"/>
  <c r="O39" i="11"/>
  <c r="N39" i="11"/>
  <c r="Q39" i="11" s="1"/>
  <c r="M39" i="11"/>
  <c r="I39" i="11"/>
  <c r="P38" i="11"/>
  <c r="O38" i="11"/>
  <c r="N38" i="11"/>
  <c r="Q38" i="11" s="1"/>
  <c r="M38" i="11"/>
  <c r="I38" i="11"/>
  <c r="I37" i="11"/>
  <c r="P36" i="11"/>
  <c r="O36" i="11"/>
  <c r="N36" i="11"/>
  <c r="Q36" i="11" s="1"/>
  <c r="M36" i="11"/>
  <c r="I36" i="11"/>
  <c r="Q35" i="11"/>
  <c r="P35" i="11"/>
  <c r="O35" i="11"/>
  <c r="N35" i="11"/>
  <c r="M35" i="11"/>
  <c r="I35" i="11"/>
  <c r="I34" i="11"/>
  <c r="I33" i="11"/>
  <c r="Q32" i="11"/>
  <c r="P32" i="11"/>
  <c r="O32" i="11"/>
  <c r="N32" i="11"/>
  <c r="M32" i="11"/>
  <c r="I32" i="11"/>
  <c r="P31" i="11"/>
  <c r="O31" i="11"/>
  <c r="Q31" i="11" s="1"/>
  <c r="N31" i="11"/>
  <c r="M31" i="11"/>
  <c r="I31" i="11"/>
  <c r="I30" i="11"/>
  <c r="P29" i="11"/>
  <c r="O29" i="11"/>
  <c r="N29" i="11"/>
  <c r="Q29" i="11" s="1"/>
  <c r="M29" i="11"/>
  <c r="I29" i="11"/>
  <c r="P28" i="11"/>
  <c r="O28" i="11"/>
  <c r="N28" i="11"/>
  <c r="Q28" i="11" s="1"/>
  <c r="M28" i="11"/>
  <c r="I28" i="11"/>
  <c r="P27" i="11"/>
  <c r="O27" i="11"/>
  <c r="N27" i="11"/>
  <c r="Q27" i="11" s="1"/>
  <c r="M27" i="11"/>
  <c r="I27" i="11"/>
  <c r="P26" i="11"/>
  <c r="O26" i="11"/>
  <c r="N26" i="11"/>
  <c r="Q26" i="11" s="1"/>
  <c r="M26" i="11"/>
  <c r="I26" i="11"/>
  <c r="P25" i="11"/>
  <c r="O25" i="11"/>
  <c r="N25" i="11"/>
  <c r="Q25" i="11" s="1"/>
  <c r="M25" i="11"/>
  <c r="I25" i="11"/>
  <c r="I24" i="11"/>
  <c r="G23" i="11"/>
  <c r="I23" i="11" s="1"/>
  <c r="I22" i="11"/>
  <c r="G22" i="11"/>
  <c r="I21" i="11"/>
  <c r="G21" i="11"/>
  <c r="G20" i="11"/>
  <c r="I20" i="11" s="1"/>
  <c r="G19" i="11"/>
  <c r="I19" i="11" s="1"/>
  <c r="I18" i="11"/>
  <c r="G18" i="11"/>
  <c r="I17" i="11"/>
  <c r="G17" i="11"/>
  <c r="G16" i="11"/>
  <c r="I16" i="11" s="1"/>
  <c r="I15" i="11"/>
  <c r="I14" i="11"/>
  <c r="G14" i="11"/>
  <c r="G13" i="11"/>
  <c r="G42" i="11" s="1"/>
  <c r="I12" i="11"/>
  <c r="I11" i="11"/>
  <c r="I10" i="11"/>
  <c r="I9" i="11"/>
  <c r="N55" i="11" l="1"/>
  <c r="P55" i="11"/>
  <c r="O55" i="11"/>
  <c r="G135" i="11"/>
  <c r="Q125" i="11"/>
  <c r="Q72" i="11"/>
  <c r="R133" i="11"/>
  <c r="AR133" i="11" s="1"/>
  <c r="I13" i="11"/>
  <c r="I133" i="11" s="1"/>
  <c r="AI110" i="11"/>
  <c r="G93" i="11"/>
  <c r="I94" i="11"/>
  <c r="I130" i="11"/>
  <c r="I44" i="11"/>
  <c r="I56" i="11"/>
  <c r="I122" i="11"/>
  <c r="N129" i="11"/>
  <c r="N40" i="11"/>
  <c r="Q40" i="11" s="1"/>
  <c r="O129" i="11"/>
  <c r="G137" i="11" l="1"/>
  <c r="I135" i="11"/>
  <c r="Q55" i="11"/>
  <c r="Q129" i="11"/>
  <c r="H195" i="10" l="1"/>
  <c r="H196" i="10" s="1"/>
  <c r="P194" i="10"/>
  <c r="O194" i="10"/>
  <c r="N194" i="10"/>
  <c r="Q194" i="10" s="1"/>
  <c r="I194" i="10"/>
  <c r="Q193" i="10"/>
  <c r="P193" i="10"/>
  <c r="O193" i="10"/>
  <c r="N193" i="10"/>
  <c r="I193" i="10"/>
  <c r="P192" i="10"/>
  <c r="O192" i="10"/>
  <c r="N192" i="10"/>
  <c r="Q192" i="10" s="1"/>
  <c r="I192" i="10"/>
  <c r="P191" i="10"/>
  <c r="O191" i="10"/>
  <c r="N191" i="10"/>
  <c r="Q191" i="10" s="1"/>
  <c r="I191" i="10"/>
  <c r="P190" i="10"/>
  <c r="O190" i="10"/>
  <c r="N190" i="10"/>
  <c r="Q190" i="10" s="1"/>
  <c r="I190" i="10"/>
  <c r="Q189" i="10"/>
  <c r="P189" i="10"/>
  <c r="O189" i="10"/>
  <c r="N189" i="10"/>
  <c r="I189" i="10"/>
  <c r="P188" i="10"/>
  <c r="O188" i="10"/>
  <c r="N188" i="10"/>
  <c r="Q188" i="10" s="1"/>
  <c r="I188" i="10"/>
  <c r="P187" i="10"/>
  <c r="O187" i="10"/>
  <c r="N187" i="10"/>
  <c r="Q187" i="10" s="1"/>
  <c r="I187" i="10"/>
  <c r="P186" i="10"/>
  <c r="O186" i="10"/>
  <c r="N186" i="10"/>
  <c r="Q186" i="10" s="1"/>
  <c r="I186" i="10"/>
  <c r="P185" i="10"/>
  <c r="Q185" i="10" s="1"/>
  <c r="O185" i="10"/>
  <c r="N185" i="10"/>
  <c r="I185" i="10"/>
  <c r="P184" i="10"/>
  <c r="O184" i="10"/>
  <c r="N184" i="10"/>
  <c r="Q184" i="10" s="1"/>
  <c r="I184" i="10"/>
  <c r="P183" i="10"/>
  <c r="O183" i="10"/>
  <c r="N183" i="10"/>
  <c r="Q183" i="10" s="1"/>
  <c r="I183" i="10"/>
  <c r="P182" i="10"/>
  <c r="O182" i="10"/>
  <c r="N182" i="10"/>
  <c r="Q182" i="10" s="1"/>
  <c r="I182" i="10"/>
  <c r="Q181" i="10"/>
  <c r="P181" i="10"/>
  <c r="O181" i="10"/>
  <c r="N181" i="10"/>
  <c r="I181" i="10"/>
  <c r="P180" i="10"/>
  <c r="O180" i="10"/>
  <c r="N180" i="10"/>
  <c r="Q180" i="10" s="1"/>
  <c r="I180" i="10"/>
  <c r="P179" i="10"/>
  <c r="O179" i="10"/>
  <c r="N179" i="10"/>
  <c r="Q179" i="10" s="1"/>
  <c r="I179" i="10"/>
  <c r="P178" i="10"/>
  <c r="O178" i="10"/>
  <c r="N178" i="10"/>
  <c r="Q178" i="10" s="1"/>
  <c r="I178" i="10"/>
  <c r="P177" i="10"/>
  <c r="Q177" i="10" s="1"/>
  <c r="O177" i="10"/>
  <c r="N177" i="10"/>
  <c r="I177" i="10"/>
  <c r="I176" i="10"/>
  <c r="P175" i="10"/>
  <c r="O175" i="10"/>
  <c r="N175" i="10"/>
  <c r="Q175" i="10" s="1"/>
  <c r="I175" i="10"/>
  <c r="P174" i="10"/>
  <c r="O174" i="10"/>
  <c r="N174" i="10"/>
  <c r="Q174" i="10" s="1"/>
  <c r="I174" i="10"/>
  <c r="P173" i="10"/>
  <c r="Q173" i="10" s="1"/>
  <c r="O173" i="10"/>
  <c r="N173" i="10"/>
  <c r="I173" i="10"/>
  <c r="P172" i="10"/>
  <c r="O172" i="10"/>
  <c r="N172" i="10"/>
  <c r="Q172" i="10" s="1"/>
  <c r="I172" i="10"/>
  <c r="P171" i="10"/>
  <c r="O171" i="10"/>
  <c r="N171" i="10"/>
  <c r="Q171" i="10" s="1"/>
  <c r="I171" i="10"/>
  <c r="P170" i="10"/>
  <c r="O170" i="10"/>
  <c r="N170" i="10"/>
  <c r="Q170" i="10" s="1"/>
  <c r="I170" i="10"/>
  <c r="Q169" i="10"/>
  <c r="P169" i="10"/>
  <c r="O169" i="10"/>
  <c r="N169" i="10"/>
  <c r="I169" i="10"/>
  <c r="P168" i="10"/>
  <c r="O168" i="10"/>
  <c r="N168" i="10"/>
  <c r="Q168" i="10" s="1"/>
  <c r="I168" i="10"/>
  <c r="P167" i="10"/>
  <c r="O167" i="10"/>
  <c r="N167" i="10"/>
  <c r="Q167" i="10" s="1"/>
  <c r="I167" i="10"/>
  <c r="P166" i="10"/>
  <c r="O166" i="10"/>
  <c r="N166" i="10"/>
  <c r="Q166" i="10" s="1"/>
  <c r="I166" i="10"/>
  <c r="P165" i="10"/>
  <c r="Q165" i="10" s="1"/>
  <c r="O165" i="10"/>
  <c r="N165" i="10"/>
  <c r="I165" i="10"/>
  <c r="P164" i="10"/>
  <c r="O164" i="10"/>
  <c r="N164" i="10"/>
  <c r="Q164" i="10" s="1"/>
  <c r="I164" i="10"/>
  <c r="P163" i="10"/>
  <c r="O163" i="10"/>
  <c r="N163" i="10"/>
  <c r="Q163" i="10" s="1"/>
  <c r="I163" i="10"/>
  <c r="P162" i="10"/>
  <c r="O162" i="10"/>
  <c r="Q162" i="10" s="1"/>
  <c r="N162" i="10"/>
  <c r="I162" i="10"/>
  <c r="Q161" i="10"/>
  <c r="P161" i="10"/>
  <c r="O161" i="10"/>
  <c r="N161" i="10"/>
  <c r="I161" i="10"/>
  <c r="P160" i="10"/>
  <c r="O160" i="10"/>
  <c r="N160" i="10"/>
  <c r="Q160" i="10" s="1"/>
  <c r="I160" i="10"/>
  <c r="P159" i="10"/>
  <c r="O159" i="10"/>
  <c r="N159" i="10"/>
  <c r="Q159" i="10" s="1"/>
  <c r="I159" i="10"/>
  <c r="P158" i="10"/>
  <c r="O158" i="10"/>
  <c r="N158" i="10"/>
  <c r="Q158" i="10" s="1"/>
  <c r="I158" i="10"/>
  <c r="P157" i="10"/>
  <c r="Q157" i="10" s="1"/>
  <c r="O157" i="10"/>
  <c r="N157" i="10"/>
  <c r="I157" i="10"/>
  <c r="P156" i="10"/>
  <c r="O156" i="10"/>
  <c r="N156" i="10"/>
  <c r="Q156" i="10" s="1"/>
  <c r="I156" i="10"/>
  <c r="G156" i="10"/>
  <c r="P155" i="10"/>
  <c r="G155" i="10"/>
  <c r="O155" i="10" s="1"/>
  <c r="N154" i="10"/>
  <c r="G154" i="10"/>
  <c r="I154" i="10" s="1"/>
  <c r="P153" i="10"/>
  <c r="O153" i="10"/>
  <c r="Q153" i="10" s="1"/>
  <c r="N153" i="10"/>
  <c r="I153" i="10"/>
  <c r="Q152" i="10"/>
  <c r="P152" i="10"/>
  <c r="O152" i="10"/>
  <c r="N152" i="10"/>
  <c r="I152" i="10"/>
  <c r="P151" i="10"/>
  <c r="O151" i="10"/>
  <c r="N151" i="10"/>
  <c r="Q151" i="10" s="1"/>
  <c r="I151" i="10"/>
  <c r="P150" i="10"/>
  <c r="O150" i="10"/>
  <c r="N150" i="10"/>
  <c r="Q150" i="10" s="1"/>
  <c r="I150" i="10"/>
  <c r="P149" i="10"/>
  <c r="O149" i="10"/>
  <c r="N149" i="10"/>
  <c r="Q149" i="10" s="1"/>
  <c r="I149" i="10"/>
  <c r="P148" i="10"/>
  <c r="Q148" i="10" s="1"/>
  <c r="O148" i="10"/>
  <c r="N148" i="10"/>
  <c r="I148" i="10"/>
  <c r="P147" i="10"/>
  <c r="O147" i="10"/>
  <c r="N147" i="10"/>
  <c r="Q147" i="10" s="1"/>
  <c r="I147" i="10"/>
  <c r="P146" i="10"/>
  <c r="O146" i="10"/>
  <c r="N146" i="10"/>
  <c r="Q146" i="10" s="1"/>
  <c r="I146" i="10"/>
  <c r="P145" i="10"/>
  <c r="O145" i="10"/>
  <c r="Q145" i="10" s="1"/>
  <c r="N145" i="10"/>
  <c r="I145" i="10"/>
  <c r="Q144" i="10"/>
  <c r="P144" i="10"/>
  <c r="O144" i="10"/>
  <c r="N144" i="10"/>
  <c r="I144" i="10"/>
  <c r="P143" i="10"/>
  <c r="O143" i="10"/>
  <c r="N143" i="10"/>
  <c r="Q143" i="10" s="1"/>
  <c r="I143" i="10"/>
  <c r="P142" i="10"/>
  <c r="O142" i="10"/>
  <c r="N142" i="10"/>
  <c r="Q142" i="10" s="1"/>
  <c r="I142" i="10"/>
  <c r="P141" i="10"/>
  <c r="O141" i="10"/>
  <c r="N141" i="10"/>
  <c r="Q141" i="10" s="1"/>
  <c r="I141" i="10"/>
  <c r="P140" i="10"/>
  <c r="Q140" i="10" s="1"/>
  <c r="O140" i="10"/>
  <c r="N140" i="10"/>
  <c r="I140" i="10"/>
  <c r="P138" i="10"/>
  <c r="O138" i="10"/>
  <c r="N138" i="10"/>
  <c r="Q138" i="10" s="1"/>
  <c r="M138" i="10"/>
  <c r="I138" i="10"/>
  <c r="Q137" i="10"/>
  <c r="P137" i="10"/>
  <c r="O137" i="10"/>
  <c r="N137" i="10"/>
  <c r="M137" i="10"/>
  <c r="I137" i="10"/>
  <c r="P136" i="10"/>
  <c r="O136" i="10"/>
  <c r="N136" i="10"/>
  <c r="Q136" i="10" s="1"/>
  <c r="M136" i="10"/>
  <c r="I136" i="10"/>
  <c r="P135" i="10"/>
  <c r="Q135" i="10" s="1"/>
  <c r="O135" i="10"/>
  <c r="N135" i="10"/>
  <c r="M135" i="10"/>
  <c r="I135" i="10"/>
  <c r="P134" i="10"/>
  <c r="O134" i="10"/>
  <c r="N134" i="10"/>
  <c r="Q134" i="10" s="1"/>
  <c r="M134" i="10"/>
  <c r="I134" i="10"/>
  <c r="Q133" i="10"/>
  <c r="P133" i="10"/>
  <c r="O133" i="10"/>
  <c r="N133" i="10"/>
  <c r="M133" i="10"/>
  <c r="I133" i="10"/>
  <c r="P132" i="10"/>
  <c r="O132" i="10"/>
  <c r="N132" i="10"/>
  <c r="Q132" i="10" s="1"/>
  <c r="M132" i="10"/>
  <c r="I132" i="10"/>
  <c r="P131" i="10"/>
  <c r="Q131" i="10" s="1"/>
  <c r="O131" i="10"/>
  <c r="N131" i="10"/>
  <c r="M131" i="10"/>
  <c r="I131" i="10"/>
  <c r="P130" i="10"/>
  <c r="O130" i="10"/>
  <c r="N130" i="10"/>
  <c r="Q130" i="10" s="1"/>
  <c r="M130" i="10"/>
  <c r="I130" i="10"/>
  <c r="Q129" i="10"/>
  <c r="P129" i="10"/>
  <c r="O129" i="10"/>
  <c r="N129" i="10"/>
  <c r="M129" i="10"/>
  <c r="I129" i="10"/>
  <c r="P128" i="10"/>
  <c r="O128" i="10"/>
  <c r="N128" i="10"/>
  <c r="Q128" i="10" s="1"/>
  <c r="M128" i="10"/>
  <c r="I128" i="10"/>
  <c r="P127" i="10"/>
  <c r="Q127" i="10" s="1"/>
  <c r="O127" i="10"/>
  <c r="N127" i="10"/>
  <c r="M127" i="10"/>
  <c r="I127" i="10"/>
  <c r="P126" i="10"/>
  <c r="O126" i="10"/>
  <c r="N126" i="10"/>
  <c r="Q126" i="10" s="1"/>
  <c r="M126" i="10"/>
  <c r="I126" i="10"/>
  <c r="Q125" i="10"/>
  <c r="P125" i="10"/>
  <c r="O125" i="10"/>
  <c r="N125" i="10"/>
  <c r="M125" i="10"/>
  <c r="I125" i="10"/>
  <c r="P124" i="10"/>
  <c r="O124" i="10"/>
  <c r="N124" i="10"/>
  <c r="Q124" i="10" s="1"/>
  <c r="M124" i="10"/>
  <c r="I124" i="10"/>
  <c r="P123" i="10"/>
  <c r="Q123" i="10" s="1"/>
  <c r="O123" i="10"/>
  <c r="N123" i="10"/>
  <c r="M123" i="10"/>
  <c r="I123" i="10"/>
  <c r="P122" i="10"/>
  <c r="O122" i="10"/>
  <c r="N122" i="10"/>
  <c r="Q122" i="10" s="1"/>
  <c r="M122" i="10"/>
  <c r="I122" i="10"/>
  <c r="Q121" i="10"/>
  <c r="P121" i="10"/>
  <c r="O121" i="10"/>
  <c r="N121" i="10"/>
  <c r="M121" i="10"/>
  <c r="I121" i="10"/>
  <c r="P120" i="10"/>
  <c r="O120" i="10"/>
  <c r="N120" i="10"/>
  <c r="Q120" i="10" s="1"/>
  <c r="M120" i="10"/>
  <c r="I120" i="10"/>
  <c r="P119" i="10"/>
  <c r="Q119" i="10" s="1"/>
  <c r="O119" i="10"/>
  <c r="N119" i="10"/>
  <c r="M119" i="10"/>
  <c r="I119" i="10"/>
  <c r="P118" i="10"/>
  <c r="O118" i="10"/>
  <c r="N118" i="10"/>
  <c r="Q118" i="10" s="1"/>
  <c r="M118" i="10"/>
  <c r="I118" i="10"/>
  <c r="Q117" i="10"/>
  <c r="P117" i="10"/>
  <c r="O117" i="10"/>
  <c r="N117" i="10"/>
  <c r="M117" i="10"/>
  <c r="I117" i="10"/>
  <c r="P116" i="10"/>
  <c r="O116" i="10"/>
  <c r="N116" i="10"/>
  <c r="Q116" i="10" s="1"/>
  <c r="M116" i="10"/>
  <c r="I116" i="10"/>
  <c r="P115" i="10"/>
  <c r="Q115" i="10" s="1"/>
  <c r="O115" i="10"/>
  <c r="N115" i="10"/>
  <c r="M115" i="10"/>
  <c r="I115" i="10"/>
  <c r="P114" i="10"/>
  <c r="O114" i="10"/>
  <c r="N114" i="10"/>
  <c r="Q114" i="10" s="1"/>
  <c r="M114" i="10"/>
  <c r="I114" i="10"/>
  <c r="Q113" i="10"/>
  <c r="P113" i="10"/>
  <c r="O113" i="10"/>
  <c r="N113" i="10"/>
  <c r="M113" i="10"/>
  <c r="I113" i="10"/>
  <c r="P112" i="10"/>
  <c r="O112" i="10"/>
  <c r="N112" i="10"/>
  <c r="Q112" i="10" s="1"/>
  <c r="M112" i="10"/>
  <c r="I112" i="10"/>
  <c r="P111" i="10"/>
  <c r="Q111" i="10" s="1"/>
  <c r="O111" i="10"/>
  <c r="N111" i="10"/>
  <c r="M111" i="10"/>
  <c r="I111" i="10"/>
  <c r="P110" i="10"/>
  <c r="O110" i="10"/>
  <c r="N110" i="10"/>
  <c r="Q110" i="10" s="1"/>
  <c r="M110" i="10"/>
  <c r="I110" i="10"/>
  <c r="Q109" i="10"/>
  <c r="P109" i="10"/>
  <c r="O109" i="10"/>
  <c r="N109" i="10"/>
  <c r="M109" i="10"/>
  <c r="I109" i="10"/>
  <c r="P108" i="10"/>
  <c r="O108" i="10"/>
  <c r="N108" i="10"/>
  <c r="Q108" i="10" s="1"/>
  <c r="M108" i="10"/>
  <c r="G108" i="10"/>
  <c r="G139" i="10" s="1"/>
  <c r="P107" i="10"/>
  <c r="O107" i="10"/>
  <c r="N107" i="10"/>
  <c r="Q107" i="10" s="1"/>
  <c r="M107" i="10"/>
  <c r="I107" i="10"/>
  <c r="P106" i="10"/>
  <c r="O106" i="10"/>
  <c r="Q106" i="10" s="1"/>
  <c r="N106" i="10"/>
  <c r="M106" i="10"/>
  <c r="I106" i="10"/>
  <c r="Q105" i="10"/>
  <c r="P105" i="10"/>
  <c r="O105" i="10"/>
  <c r="N105" i="10"/>
  <c r="M105" i="10"/>
  <c r="I105" i="10"/>
  <c r="P104" i="10"/>
  <c r="O104" i="10"/>
  <c r="N104" i="10"/>
  <c r="Q104" i="10" s="1"/>
  <c r="I104" i="10"/>
  <c r="P103" i="10"/>
  <c r="Q103" i="10" s="1"/>
  <c r="O103" i="10"/>
  <c r="N103" i="10"/>
  <c r="I103" i="10"/>
  <c r="P102" i="10"/>
  <c r="O102" i="10"/>
  <c r="N102" i="10"/>
  <c r="Q102" i="10" s="1"/>
  <c r="I102" i="10"/>
  <c r="P101" i="10"/>
  <c r="O101" i="10"/>
  <c r="N101" i="10"/>
  <c r="Q101" i="10" s="1"/>
  <c r="I101" i="10"/>
  <c r="P100" i="10"/>
  <c r="O100" i="10"/>
  <c r="Q100" i="10" s="1"/>
  <c r="N100" i="10"/>
  <c r="M100" i="10"/>
  <c r="I100" i="10"/>
  <c r="Q99" i="10"/>
  <c r="P99" i="10"/>
  <c r="O99" i="10"/>
  <c r="N99" i="10"/>
  <c r="M99" i="10"/>
  <c r="I99" i="10"/>
  <c r="P98" i="10"/>
  <c r="O98" i="10"/>
  <c r="N98" i="10"/>
  <c r="Q98" i="10" s="1"/>
  <c r="M98" i="10"/>
  <c r="I98" i="10"/>
  <c r="P97" i="10"/>
  <c r="O97" i="10"/>
  <c r="N97" i="10"/>
  <c r="Q97" i="10" s="1"/>
  <c r="M97" i="10"/>
  <c r="I97" i="10"/>
  <c r="P96" i="10"/>
  <c r="O96" i="10"/>
  <c r="Q96" i="10" s="1"/>
  <c r="N96" i="10"/>
  <c r="M96" i="10"/>
  <c r="I96" i="10"/>
  <c r="Q95" i="10"/>
  <c r="P95" i="10"/>
  <c r="O95" i="10"/>
  <c r="N95" i="10"/>
  <c r="M95" i="10"/>
  <c r="I95" i="10"/>
  <c r="P94" i="10"/>
  <c r="O94" i="10"/>
  <c r="N94" i="10"/>
  <c r="Q94" i="10" s="1"/>
  <c r="M94" i="10"/>
  <c r="I94" i="10"/>
  <c r="P93" i="10"/>
  <c r="O93" i="10"/>
  <c r="N93" i="10"/>
  <c r="Q93" i="10" s="1"/>
  <c r="M93" i="10"/>
  <c r="I93" i="10"/>
  <c r="P92" i="10"/>
  <c r="O92" i="10"/>
  <c r="Q92" i="10" s="1"/>
  <c r="N92" i="10"/>
  <c r="M92" i="10"/>
  <c r="I92" i="10"/>
  <c r="G91" i="10"/>
  <c r="P90" i="10"/>
  <c r="O90" i="10"/>
  <c r="N90" i="10"/>
  <c r="Q90" i="10" s="1"/>
  <c r="M90" i="10"/>
  <c r="I90" i="10"/>
  <c r="Q89" i="10"/>
  <c r="P89" i="10"/>
  <c r="O89" i="10"/>
  <c r="N89" i="10"/>
  <c r="M89" i="10"/>
  <c r="I89" i="10"/>
  <c r="P88" i="10"/>
  <c r="O88" i="10"/>
  <c r="N88" i="10"/>
  <c r="Q88" i="10" s="1"/>
  <c r="M88" i="10"/>
  <c r="I88" i="10"/>
  <c r="P87" i="10"/>
  <c r="Q87" i="10" s="1"/>
  <c r="O87" i="10"/>
  <c r="N87" i="10"/>
  <c r="M87" i="10"/>
  <c r="I87" i="10"/>
  <c r="P86" i="10"/>
  <c r="O86" i="10"/>
  <c r="N86" i="10"/>
  <c r="Q86" i="10" s="1"/>
  <c r="M86" i="10"/>
  <c r="I86" i="10"/>
  <c r="Q85" i="10"/>
  <c r="P85" i="10"/>
  <c r="O85" i="10"/>
  <c r="N85" i="10"/>
  <c r="M85" i="10"/>
  <c r="I85" i="10"/>
  <c r="P84" i="10"/>
  <c r="O84" i="10"/>
  <c r="N84" i="10"/>
  <c r="Q84" i="10" s="1"/>
  <c r="M84" i="10"/>
  <c r="I84" i="10"/>
  <c r="P83" i="10"/>
  <c r="Q83" i="10" s="1"/>
  <c r="O83" i="10"/>
  <c r="N83" i="10"/>
  <c r="M83" i="10"/>
  <c r="I83" i="10"/>
  <c r="P82" i="10"/>
  <c r="O82" i="10"/>
  <c r="N82" i="10"/>
  <c r="Q82" i="10" s="1"/>
  <c r="M82" i="10"/>
  <c r="I82" i="10"/>
  <c r="Q81" i="10"/>
  <c r="P81" i="10"/>
  <c r="O81" i="10"/>
  <c r="N81" i="10"/>
  <c r="M81" i="10"/>
  <c r="I81" i="10"/>
  <c r="P80" i="10"/>
  <c r="O80" i="10"/>
  <c r="N80" i="10"/>
  <c r="Q80" i="10" s="1"/>
  <c r="M80" i="10"/>
  <c r="I80" i="10"/>
  <c r="P79" i="10"/>
  <c r="Q79" i="10" s="1"/>
  <c r="O79" i="10"/>
  <c r="N79" i="10"/>
  <c r="M79" i="10"/>
  <c r="I79" i="10"/>
  <c r="P78" i="10"/>
  <c r="O78" i="10"/>
  <c r="N78" i="10"/>
  <c r="Q78" i="10" s="1"/>
  <c r="M78" i="10"/>
  <c r="I78" i="10"/>
  <c r="Q77" i="10"/>
  <c r="P77" i="10"/>
  <c r="O77" i="10"/>
  <c r="N77" i="10"/>
  <c r="M77" i="10"/>
  <c r="I77" i="10"/>
  <c r="P76" i="10"/>
  <c r="O76" i="10"/>
  <c r="N76" i="10"/>
  <c r="Q76" i="10" s="1"/>
  <c r="M76" i="10"/>
  <c r="I76" i="10"/>
  <c r="I75" i="10"/>
  <c r="I74" i="10"/>
  <c r="I73" i="10"/>
  <c r="I72" i="10"/>
  <c r="I71" i="10"/>
  <c r="I70" i="10"/>
  <c r="I69" i="10"/>
  <c r="I68" i="10"/>
  <c r="I67" i="10"/>
  <c r="I66" i="10"/>
  <c r="I65" i="10"/>
  <c r="P64" i="10"/>
  <c r="O64" i="10"/>
  <c r="N64" i="10"/>
  <c r="Q64" i="10" s="1"/>
  <c r="M64" i="10"/>
  <c r="I64" i="10"/>
  <c r="G63" i="10"/>
  <c r="P62" i="10"/>
  <c r="O62" i="10"/>
  <c r="N62" i="10"/>
  <c r="Q62" i="10" s="1"/>
  <c r="M62" i="10"/>
  <c r="I62" i="10"/>
  <c r="P61" i="10"/>
  <c r="Q61" i="10" s="1"/>
  <c r="O61" i="10"/>
  <c r="N61" i="10"/>
  <c r="M61" i="10"/>
  <c r="I61" i="10"/>
  <c r="P60" i="10"/>
  <c r="O60" i="10"/>
  <c r="N60" i="10"/>
  <c r="Q60" i="10" s="1"/>
  <c r="M60" i="10"/>
  <c r="I60" i="10"/>
  <c r="Q59" i="10"/>
  <c r="P59" i="10"/>
  <c r="O59" i="10"/>
  <c r="N59" i="10"/>
  <c r="M59" i="10"/>
  <c r="I59" i="10"/>
  <c r="P58" i="10"/>
  <c r="O58" i="10"/>
  <c r="N58" i="10"/>
  <c r="Q58" i="10" s="1"/>
  <c r="M58" i="10"/>
  <c r="I58" i="10"/>
  <c r="P57" i="10"/>
  <c r="Q57" i="10" s="1"/>
  <c r="O57" i="10"/>
  <c r="N57" i="10"/>
  <c r="M57" i="10"/>
  <c r="I57" i="10"/>
  <c r="P56" i="10"/>
  <c r="O56" i="10"/>
  <c r="N56" i="10"/>
  <c r="Q56" i="10" s="1"/>
  <c r="M56" i="10"/>
  <c r="I56" i="10"/>
  <c r="Q55" i="10"/>
  <c r="P55" i="10"/>
  <c r="O55" i="10"/>
  <c r="N55" i="10"/>
  <c r="M55" i="10"/>
  <c r="I55" i="10"/>
  <c r="P54" i="10"/>
  <c r="O54" i="10"/>
  <c r="N54" i="10"/>
  <c r="Q54" i="10" s="1"/>
  <c r="M54" i="10"/>
  <c r="I54" i="10"/>
  <c r="P53" i="10"/>
  <c r="Q53" i="10" s="1"/>
  <c r="O53" i="10"/>
  <c r="N53" i="10"/>
  <c r="M53" i="10"/>
  <c r="I53" i="10"/>
  <c r="P52" i="10"/>
  <c r="O52" i="10"/>
  <c r="N52" i="10"/>
  <c r="Q52" i="10" s="1"/>
  <c r="M52" i="10"/>
  <c r="I52" i="10"/>
  <c r="Q51" i="10"/>
  <c r="P51" i="10"/>
  <c r="O51" i="10"/>
  <c r="N51" i="10"/>
  <c r="M51" i="10"/>
  <c r="I51" i="10"/>
  <c r="P50" i="10"/>
  <c r="O50" i="10"/>
  <c r="N50" i="10"/>
  <c r="Q50" i="10" s="1"/>
  <c r="M50" i="10"/>
  <c r="I50" i="10"/>
  <c r="P49" i="10"/>
  <c r="Q49" i="10" s="1"/>
  <c r="O49" i="10"/>
  <c r="N49" i="10"/>
  <c r="M49" i="10"/>
  <c r="I49" i="10"/>
  <c r="P48" i="10"/>
  <c r="O48" i="10"/>
  <c r="N48" i="10"/>
  <c r="Q48" i="10" s="1"/>
  <c r="M48" i="10"/>
  <c r="I48" i="10"/>
  <c r="Q47" i="10"/>
  <c r="P47" i="10"/>
  <c r="O47" i="10"/>
  <c r="N47" i="10"/>
  <c r="M47" i="10"/>
  <c r="I47" i="10"/>
  <c r="P46" i="10"/>
  <c r="O46" i="10"/>
  <c r="N46" i="10"/>
  <c r="Q46" i="10" s="1"/>
  <c r="M46" i="10"/>
  <c r="I46" i="10"/>
  <c r="P45" i="10"/>
  <c r="Q45" i="10" s="1"/>
  <c r="O45" i="10"/>
  <c r="N45" i="10"/>
  <c r="M45" i="10"/>
  <c r="I45" i="10"/>
  <c r="P44" i="10"/>
  <c r="O44" i="10"/>
  <c r="N44" i="10"/>
  <c r="Q44" i="10" s="1"/>
  <c r="M44" i="10"/>
  <c r="I44" i="10"/>
  <c r="P43" i="10"/>
  <c r="O43" i="10"/>
  <c r="Q43" i="10" s="1"/>
  <c r="N43" i="10"/>
  <c r="M43" i="10"/>
  <c r="I43" i="10"/>
  <c r="P42" i="10"/>
  <c r="O42" i="10"/>
  <c r="N42" i="10"/>
  <c r="Q42" i="10" s="1"/>
  <c r="M42" i="10"/>
  <c r="I42" i="10"/>
  <c r="P41" i="10"/>
  <c r="O41" i="10"/>
  <c r="N41" i="10"/>
  <c r="Q41" i="10" s="1"/>
  <c r="M41" i="10"/>
  <c r="I41" i="10"/>
  <c r="Q40" i="10"/>
  <c r="P40" i="10"/>
  <c r="O40" i="10"/>
  <c r="N40" i="10"/>
  <c r="M40" i="10"/>
  <c r="I40" i="10"/>
  <c r="Q39" i="10"/>
  <c r="P39" i="10"/>
  <c r="O39" i="10"/>
  <c r="N39" i="10"/>
  <c r="M39" i="10"/>
  <c r="I39" i="10"/>
  <c r="G38" i="10"/>
  <c r="P37" i="10"/>
  <c r="O37" i="10"/>
  <c r="N37" i="10"/>
  <c r="Q37" i="10" s="1"/>
  <c r="M37" i="10"/>
  <c r="I37" i="10"/>
  <c r="P36" i="10"/>
  <c r="O36" i="10"/>
  <c r="N36" i="10"/>
  <c r="Q36" i="10" s="1"/>
  <c r="M36" i="10"/>
  <c r="I36" i="10"/>
  <c r="Q35" i="10"/>
  <c r="P35" i="10"/>
  <c r="O35" i="10"/>
  <c r="N35" i="10"/>
  <c r="M35" i="10"/>
  <c r="I35" i="10"/>
  <c r="P34" i="10"/>
  <c r="Q34" i="10" s="1"/>
  <c r="O34" i="10"/>
  <c r="N34" i="10"/>
  <c r="M34" i="10"/>
  <c r="I34" i="10"/>
  <c r="P33" i="10"/>
  <c r="O33" i="10"/>
  <c r="N33" i="10"/>
  <c r="Q33" i="10" s="1"/>
  <c r="M33" i="10"/>
  <c r="I33" i="10"/>
  <c r="P32" i="10"/>
  <c r="O32" i="10"/>
  <c r="N32" i="10"/>
  <c r="Q32" i="10" s="1"/>
  <c r="M32" i="10"/>
  <c r="I32" i="10"/>
  <c r="Q31" i="10"/>
  <c r="P31" i="10"/>
  <c r="O31" i="10"/>
  <c r="N31" i="10"/>
  <c r="M31" i="10"/>
  <c r="I31" i="10"/>
  <c r="P30" i="10"/>
  <c r="O30" i="10"/>
  <c r="Q30" i="10" s="1"/>
  <c r="N30" i="10"/>
  <c r="M30" i="10"/>
  <c r="I30" i="10"/>
  <c r="P29" i="10"/>
  <c r="O29" i="10"/>
  <c r="N29" i="10"/>
  <c r="Q29" i="10" s="1"/>
  <c r="M29" i="10"/>
  <c r="I29" i="10"/>
  <c r="P28" i="10"/>
  <c r="O28" i="10"/>
  <c r="N28" i="10"/>
  <c r="Q28" i="10" s="1"/>
  <c r="M28" i="10"/>
  <c r="I28" i="10"/>
  <c r="Q27" i="10"/>
  <c r="P27" i="10"/>
  <c r="O27" i="10"/>
  <c r="N27" i="10"/>
  <c r="I27" i="10"/>
  <c r="Q26" i="10"/>
  <c r="P26" i="10"/>
  <c r="O26" i="10"/>
  <c r="N26" i="10"/>
  <c r="M26" i="10"/>
  <c r="I26" i="10"/>
  <c r="P25" i="10"/>
  <c r="O25" i="10"/>
  <c r="N25" i="10"/>
  <c r="Q25" i="10" s="1"/>
  <c r="M25" i="10"/>
  <c r="I25" i="10"/>
  <c r="Q24" i="10"/>
  <c r="P24" i="10"/>
  <c r="O24" i="10"/>
  <c r="N24" i="10"/>
  <c r="M24" i="10"/>
  <c r="I24" i="10"/>
  <c r="Q23" i="10"/>
  <c r="P23" i="10"/>
  <c r="O23" i="10"/>
  <c r="N23" i="10"/>
  <c r="M23" i="10"/>
  <c r="I23" i="10"/>
  <c r="Q22" i="10"/>
  <c r="P22" i="10"/>
  <c r="O22" i="10"/>
  <c r="N22" i="10"/>
  <c r="M22" i="10"/>
  <c r="I22" i="10"/>
  <c r="P21" i="10"/>
  <c r="O21" i="10"/>
  <c r="N21" i="10"/>
  <c r="Q21" i="10" s="1"/>
  <c r="M21" i="10"/>
  <c r="I21" i="10"/>
  <c r="Q20" i="10"/>
  <c r="P20" i="10"/>
  <c r="O20" i="10"/>
  <c r="N20" i="10"/>
  <c r="M20" i="10"/>
  <c r="I20" i="10"/>
  <c r="Q19" i="10"/>
  <c r="P19" i="10"/>
  <c r="O19" i="10"/>
  <c r="N19" i="10"/>
  <c r="M19" i="10"/>
  <c r="I19" i="10"/>
  <c r="Q18" i="10"/>
  <c r="P18" i="10"/>
  <c r="O18" i="10"/>
  <c r="N18" i="10"/>
  <c r="M18" i="10"/>
  <c r="I18" i="10"/>
  <c r="P17" i="10"/>
  <c r="O17" i="10"/>
  <c r="N17" i="10"/>
  <c r="Q17" i="10" s="1"/>
  <c r="M17" i="10"/>
  <c r="I17" i="10"/>
  <c r="Q16" i="10"/>
  <c r="P16" i="10"/>
  <c r="O16" i="10"/>
  <c r="N16" i="10"/>
  <c r="M16" i="10"/>
  <c r="I16" i="10"/>
  <c r="Q15" i="10"/>
  <c r="P15" i="10"/>
  <c r="O15" i="10"/>
  <c r="N15" i="10"/>
  <c r="M15" i="10"/>
  <c r="I15" i="10"/>
  <c r="Q14" i="10"/>
  <c r="P14" i="10"/>
  <c r="O14" i="10"/>
  <c r="N14" i="10"/>
  <c r="M14" i="10"/>
  <c r="I14" i="10"/>
  <c r="P13" i="10"/>
  <c r="O13" i="10"/>
  <c r="N13" i="10"/>
  <c r="Q13" i="10" s="1"/>
  <c r="M13" i="10"/>
  <c r="I13" i="10"/>
  <c r="Q12" i="10"/>
  <c r="P12" i="10"/>
  <c r="O12" i="10"/>
  <c r="N12" i="10"/>
  <c r="M12" i="10"/>
  <c r="I12" i="10"/>
  <c r="Q11" i="10"/>
  <c r="P11" i="10"/>
  <c r="O11" i="10"/>
  <c r="N11" i="10"/>
  <c r="M11" i="10"/>
  <c r="I11" i="10"/>
  <c r="Q10" i="10"/>
  <c r="P10" i="10"/>
  <c r="O10" i="10"/>
  <c r="N10" i="10"/>
  <c r="M10" i="10"/>
  <c r="I10" i="10"/>
  <c r="P9" i="10"/>
  <c r="O9" i="10"/>
  <c r="N9" i="10"/>
  <c r="Q9" i="10" s="1"/>
  <c r="M9" i="10"/>
  <c r="I9" i="10"/>
  <c r="I195" i="10" l="1"/>
  <c r="Q154" i="10"/>
  <c r="O154" i="10"/>
  <c r="P154" i="10"/>
  <c r="G195" i="10"/>
  <c r="G196" i="10" s="1"/>
  <c r="I196" i="10" s="1"/>
  <c r="I108" i="10"/>
  <c r="I155" i="10"/>
  <c r="N155" i="10"/>
  <c r="Q155" i="10" s="1"/>
  <c r="Q125" i="9" l="1"/>
  <c r="I124" i="9"/>
  <c r="I123" i="9"/>
  <c r="I122" i="9"/>
  <c r="I121" i="9"/>
  <c r="I120" i="9"/>
  <c r="G119" i="9"/>
  <c r="I119" i="9" s="1"/>
  <c r="I118" i="9"/>
  <c r="H118" i="9"/>
  <c r="H117" i="9"/>
  <c r="G117" i="9"/>
  <c r="I117" i="9" s="1"/>
  <c r="G116" i="9"/>
  <c r="I116" i="9" s="1"/>
  <c r="I115" i="9"/>
  <c r="I114" i="9"/>
  <c r="H114" i="9"/>
  <c r="I113" i="9"/>
  <c r="G113" i="9"/>
  <c r="I112" i="9"/>
  <c r="G112" i="9"/>
  <c r="I111" i="9"/>
  <c r="I110" i="9"/>
  <c r="H109" i="9"/>
  <c r="G109" i="9"/>
  <c r="I109" i="9" s="1"/>
  <c r="I108" i="9"/>
  <c r="I107" i="9"/>
  <c r="I106" i="9"/>
  <c r="I105" i="9"/>
  <c r="I104" i="9"/>
  <c r="I103" i="9"/>
  <c r="I102" i="9"/>
  <c r="I101" i="9"/>
  <c r="I100" i="9"/>
  <c r="I99" i="9"/>
  <c r="G98" i="9"/>
  <c r="I98" i="9" s="1"/>
  <c r="I97" i="9"/>
  <c r="G97" i="9"/>
  <c r="I96" i="9"/>
  <c r="I95" i="9"/>
  <c r="G95" i="9"/>
  <c r="I94" i="9"/>
  <c r="G94" i="9"/>
  <c r="G93" i="9"/>
  <c r="I93" i="9" s="1"/>
  <c r="I92" i="9"/>
  <c r="G92" i="9"/>
  <c r="I91" i="9"/>
  <c r="I90" i="9"/>
  <c r="I89" i="9"/>
  <c r="I88" i="9"/>
  <c r="I87" i="9"/>
  <c r="I86" i="9"/>
  <c r="I85" i="9"/>
  <c r="H84" i="9"/>
  <c r="I84" i="9" s="1"/>
  <c r="G83" i="9"/>
  <c r="I83" i="9" s="1"/>
  <c r="I82" i="9"/>
  <c r="G82" i="9"/>
  <c r="I81" i="9"/>
  <c r="G81" i="9"/>
  <c r="I80" i="9"/>
  <c r="I79" i="9"/>
  <c r="G79" i="9"/>
  <c r="I78" i="9"/>
  <c r="G78" i="9"/>
  <c r="G77" i="9"/>
  <c r="I77" i="9" s="1"/>
  <c r="H76" i="9"/>
  <c r="G76" i="9"/>
  <c r="I76" i="9" s="1"/>
  <c r="H75" i="9"/>
  <c r="I75" i="9" s="1"/>
  <c r="I74" i="9"/>
  <c r="I73" i="9"/>
  <c r="I72" i="9"/>
  <c r="H72" i="9"/>
  <c r="G72" i="9"/>
  <c r="I71" i="9"/>
  <c r="G71" i="9"/>
  <c r="I70" i="9"/>
  <c r="I69" i="9"/>
  <c r="I68" i="9"/>
  <c r="I67" i="9"/>
  <c r="I66" i="9"/>
  <c r="I65" i="9"/>
  <c r="I64" i="9"/>
  <c r="I63" i="9"/>
  <c r="I62" i="9"/>
  <c r="I61" i="9"/>
  <c r="I60" i="9"/>
  <c r="I59" i="9"/>
  <c r="I58" i="9"/>
  <c r="I57" i="9"/>
  <c r="I56" i="9"/>
  <c r="H56" i="9"/>
  <c r="I55" i="9"/>
  <c r="I54" i="9"/>
  <c r="G54" i="9"/>
  <c r="I53" i="9"/>
  <c r="I52" i="9"/>
  <c r="G51" i="9"/>
  <c r="I51" i="9" s="1"/>
  <c r="I50" i="9"/>
  <c r="I49" i="9"/>
  <c r="I48" i="9"/>
  <c r="I47" i="9"/>
  <c r="I46" i="9"/>
  <c r="I45" i="9"/>
  <c r="I44" i="9"/>
  <c r="I43" i="9"/>
  <c r="H42" i="9"/>
  <c r="I42" i="9" s="1"/>
  <c r="I41" i="9"/>
  <c r="I40" i="9"/>
  <c r="I39" i="9"/>
  <c r="I38" i="9"/>
  <c r="I37" i="9"/>
  <c r="I36" i="9"/>
  <c r="G36" i="9"/>
  <c r="I35" i="9"/>
  <c r="G35" i="9"/>
  <c r="I34" i="9"/>
  <c r="I33" i="9"/>
  <c r="G33" i="9"/>
  <c r="G125" i="9" s="1"/>
  <c r="I32" i="9"/>
  <c r="I31" i="9"/>
  <c r="I30" i="9"/>
  <c r="I29" i="9"/>
  <c r="I28" i="9"/>
  <c r="I27" i="9"/>
  <c r="I26" i="9"/>
  <c r="Q25" i="9"/>
  <c r="Q126" i="9" s="1"/>
  <c r="H25" i="9"/>
  <c r="H125" i="9" s="1"/>
  <c r="I24" i="9"/>
  <c r="I23" i="9"/>
  <c r="I22" i="9"/>
  <c r="I21" i="9"/>
  <c r="I20" i="9"/>
  <c r="I19" i="9"/>
  <c r="I18" i="9"/>
  <c r="I17" i="9"/>
  <c r="I16" i="9"/>
  <c r="I15" i="9"/>
  <c r="I14" i="9"/>
  <c r="I13" i="9"/>
  <c r="G13" i="9"/>
  <c r="G12" i="9"/>
  <c r="I12" i="9" s="1"/>
  <c r="G11" i="9"/>
  <c r="G25" i="9" s="1"/>
  <c r="I10" i="9"/>
  <c r="I9" i="9"/>
  <c r="I11" i="9" l="1"/>
  <c r="I125" i="9" s="1"/>
  <c r="I25" i="9"/>
  <c r="G90" i="8" l="1"/>
  <c r="N89" i="8"/>
  <c r="M89" i="8"/>
  <c r="L89" i="8"/>
  <c r="O89" i="8" s="1"/>
  <c r="K89" i="8"/>
  <c r="O88" i="8"/>
  <c r="N88" i="8"/>
  <c r="M88" i="8"/>
  <c r="L88" i="8"/>
  <c r="K88" i="8"/>
  <c r="N87" i="8"/>
  <c r="M87" i="8"/>
  <c r="L87" i="8"/>
  <c r="O87" i="8" s="1"/>
  <c r="K87" i="8"/>
  <c r="N86" i="8"/>
  <c r="M86" i="8"/>
  <c r="L86" i="8"/>
  <c r="O86" i="8" s="1"/>
  <c r="K86" i="8"/>
  <c r="N85" i="8"/>
  <c r="O85" i="8" s="1"/>
  <c r="M85" i="8"/>
  <c r="L85" i="8"/>
  <c r="K85" i="8"/>
  <c r="N84" i="8"/>
  <c r="M84" i="8"/>
  <c r="L84" i="8"/>
  <c r="O84" i="8" s="1"/>
  <c r="K84" i="8"/>
  <c r="O83" i="8"/>
  <c r="N83" i="8"/>
  <c r="M83" i="8"/>
  <c r="L83" i="8"/>
  <c r="K83" i="8"/>
  <c r="N82" i="8"/>
  <c r="M82" i="8"/>
  <c r="L82" i="8"/>
  <c r="O82" i="8" s="1"/>
  <c r="K82" i="8"/>
  <c r="O81" i="8"/>
  <c r="N81" i="8"/>
  <c r="M81" i="8"/>
  <c r="L81" i="8"/>
  <c r="K81" i="8"/>
  <c r="O80" i="8"/>
  <c r="N80" i="8"/>
  <c r="M80" i="8"/>
  <c r="L80" i="8"/>
  <c r="K80" i="8"/>
  <c r="N79" i="8"/>
  <c r="M79" i="8"/>
  <c r="L79" i="8"/>
  <c r="O79" i="8" s="1"/>
  <c r="K79" i="8"/>
  <c r="N78" i="8"/>
  <c r="M78" i="8"/>
  <c r="L78" i="8"/>
  <c r="O78" i="8" s="1"/>
  <c r="K78" i="8"/>
  <c r="N77" i="8"/>
  <c r="O77" i="8" s="1"/>
  <c r="M77" i="8"/>
  <c r="L77" i="8"/>
  <c r="K77" i="8"/>
  <c r="N76" i="8"/>
  <c r="M76" i="8"/>
  <c r="L76" i="8"/>
  <c r="O76" i="8" s="1"/>
  <c r="K76" i="8"/>
  <c r="N75" i="8"/>
  <c r="M75" i="8"/>
  <c r="O75" i="8" s="1"/>
  <c r="L75" i="8"/>
  <c r="K75" i="8"/>
  <c r="N74" i="8"/>
  <c r="M74" i="8"/>
  <c r="L74" i="8"/>
  <c r="O74" i="8" s="1"/>
  <c r="K74" i="8"/>
  <c r="O73" i="8"/>
  <c r="N73" i="8"/>
  <c r="M73" i="8"/>
  <c r="L73" i="8"/>
  <c r="K73" i="8"/>
  <c r="N61" i="8"/>
  <c r="M61" i="8"/>
  <c r="L61" i="8"/>
  <c r="O61" i="8" s="1"/>
  <c r="Q61" i="8" s="1"/>
  <c r="K61" i="8"/>
  <c r="N60" i="8"/>
  <c r="M60" i="8"/>
  <c r="L60" i="8"/>
  <c r="O60" i="8" s="1"/>
  <c r="Q60" i="8" s="1"/>
  <c r="K60" i="8"/>
  <c r="N59" i="8"/>
  <c r="M59" i="8"/>
  <c r="L59" i="8"/>
  <c r="O59" i="8" s="1"/>
  <c r="Q59" i="8" s="1"/>
  <c r="K59" i="8"/>
  <c r="O58" i="8"/>
  <c r="Q58" i="8" s="1"/>
  <c r="N58" i="8"/>
  <c r="M58" i="8"/>
  <c r="L58" i="8"/>
  <c r="K58" i="8"/>
  <c r="N57" i="8"/>
  <c r="M57" i="8"/>
  <c r="L57" i="8"/>
  <c r="O57" i="8" s="1"/>
  <c r="Q57" i="8" s="1"/>
  <c r="K57" i="8"/>
  <c r="N56" i="8"/>
  <c r="M56" i="8"/>
  <c r="L56" i="8"/>
  <c r="O56" i="8" s="1"/>
  <c r="Q56" i="8" s="1"/>
  <c r="K56" i="8"/>
  <c r="N55" i="8"/>
  <c r="M55" i="8"/>
  <c r="L55" i="8"/>
  <c r="O55" i="8" s="1"/>
  <c r="Q55" i="8" s="1"/>
  <c r="K55" i="8"/>
  <c r="O54" i="8"/>
  <c r="Q54" i="8" s="1"/>
  <c r="N54" i="8"/>
  <c r="M54" i="8"/>
  <c r="L54" i="8"/>
  <c r="K54" i="8"/>
  <c r="N53" i="8"/>
  <c r="M53" i="8"/>
  <c r="L53" i="8"/>
  <c r="O53" i="8" s="1"/>
  <c r="Q53" i="8" s="1"/>
  <c r="K53" i="8"/>
  <c r="N52" i="8"/>
  <c r="M52" i="8"/>
  <c r="L52" i="8"/>
  <c r="O52" i="8" s="1"/>
  <c r="Q52" i="8" s="1"/>
  <c r="K52" i="8"/>
  <c r="N51" i="8"/>
  <c r="M51" i="8"/>
  <c r="L51" i="8"/>
  <c r="O51" i="8" s="1"/>
  <c r="Q51" i="8" s="1"/>
  <c r="K51" i="8"/>
  <c r="O50" i="8"/>
  <c r="Q50" i="8" s="1"/>
  <c r="N50" i="8"/>
  <c r="M50" i="8"/>
  <c r="L50" i="8"/>
  <c r="K50" i="8"/>
  <c r="N49" i="8"/>
  <c r="M49" i="8"/>
  <c r="L49" i="8"/>
  <c r="O49" i="8" s="1"/>
  <c r="Q49" i="8" s="1"/>
  <c r="K49" i="8"/>
  <c r="N48" i="8"/>
  <c r="M48" i="8"/>
  <c r="L48" i="8"/>
  <c r="O48" i="8" s="1"/>
  <c r="Q48" i="8" s="1"/>
  <c r="K48" i="8"/>
  <c r="N47" i="8"/>
  <c r="M47" i="8"/>
  <c r="L47" i="8"/>
  <c r="O47" i="8" s="1"/>
  <c r="Q47" i="8" s="1"/>
  <c r="K47" i="8"/>
  <c r="O46" i="8"/>
  <c r="Q46" i="8" s="1"/>
  <c r="N46" i="8"/>
  <c r="M46" i="8"/>
  <c r="L46" i="8"/>
  <c r="K46" i="8"/>
  <c r="N45" i="8"/>
  <c r="M45" i="8"/>
  <c r="L45" i="8"/>
  <c r="O45" i="8" s="1"/>
  <c r="Q45" i="8" s="1"/>
  <c r="K45" i="8"/>
  <c r="N44" i="8"/>
  <c r="M44" i="8"/>
  <c r="L44" i="8"/>
  <c r="O44" i="8" s="1"/>
  <c r="Q44" i="8" s="1"/>
  <c r="K44" i="8"/>
  <c r="N43" i="8"/>
  <c r="M43" i="8"/>
  <c r="L43" i="8"/>
  <c r="O43" i="8" s="1"/>
  <c r="Q43" i="8" s="1"/>
  <c r="K43" i="8"/>
  <c r="O42" i="8"/>
  <c r="Q42" i="8" s="1"/>
  <c r="N42" i="8"/>
  <c r="M42" i="8"/>
  <c r="L42" i="8"/>
  <c r="K42" i="8"/>
  <c r="N41" i="8"/>
  <c r="M41" i="8"/>
  <c r="L41" i="8"/>
  <c r="O41" i="8" s="1"/>
  <c r="Q41" i="8" s="1"/>
  <c r="K41" i="8"/>
  <c r="N40" i="8"/>
  <c r="M40" i="8"/>
  <c r="L40" i="8"/>
  <c r="O40" i="8" s="1"/>
  <c r="Q40" i="8" s="1"/>
  <c r="K40" i="8"/>
  <c r="N39" i="8"/>
  <c r="M39" i="8"/>
  <c r="L39" i="8"/>
  <c r="O39" i="8" s="1"/>
  <c r="Q39" i="8" s="1"/>
  <c r="K39" i="8"/>
  <c r="O38" i="8"/>
  <c r="Q38" i="8" s="1"/>
  <c r="N38" i="8"/>
  <c r="M38" i="8"/>
  <c r="L38" i="8"/>
  <c r="K38" i="8"/>
  <c r="N37" i="8"/>
  <c r="M37" i="8"/>
  <c r="L37" i="8"/>
  <c r="O37" i="8" s="1"/>
  <c r="Q37" i="8" s="1"/>
  <c r="K37" i="8"/>
  <c r="N36" i="8"/>
  <c r="M36" i="8"/>
  <c r="L36" i="8"/>
  <c r="O36" i="8" s="1"/>
  <c r="Q36" i="8" s="1"/>
  <c r="K36" i="8"/>
  <c r="N35" i="8"/>
  <c r="M35" i="8"/>
  <c r="L35" i="8"/>
  <c r="O35" i="8" s="1"/>
  <c r="Q35" i="8" s="1"/>
  <c r="K35" i="8"/>
  <c r="O34" i="8"/>
  <c r="Q34" i="8" s="1"/>
  <c r="N34" i="8"/>
  <c r="M34" i="8"/>
  <c r="L34" i="8"/>
  <c r="K34" i="8"/>
  <c r="N33" i="8"/>
  <c r="M33" i="8"/>
  <c r="L33" i="8"/>
  <c r="O33" i="8" s="1"/>
  <c r="Q33" i="8" s="1"/>
  <c r="K33" i="8"/>
  <c r="N32" i="8"/>
  <c r="M32" i="8"/>
  <c r="L32" i="8"/>
  <c r="O32" i="8" s="1"/>
  <c r="Q32" i="8" s="1"/>
  <c r="K32" i="8"/>
  <c r="N31" i="8"/>
  <c r="M31" i="8"/>
  <c r="L31" i="8"/>
  <c r="O31" i="8" s="1"/>
  <c r="Q31" i="8" s="1"/>
  <c r="K31" i="8"/>
  <c r="O30" i="8"/>
  <c r="Q30" i="8" s="1"/>
  <c r="N30" i="8"/>
  <c r="M30" i="8"/>
  <c r="L30" i="8"/>
  <c r="K30" i="8"/>
  <c r="N29" i="8"/>
  <c r="M29" i="8"/>
  <c r="O29" i="8" s="1"/>
  <c r="Q29" i="8" s="1"/>
  <c r="L29" i="8"/>
  <c r="K29" i="8"/>
  <c r="N28" i="8"/>
  <c r="M28" i="8"/>
  <c r="L28" i="8"/>
  <c r="O28" i="8" s="1"/>
  <c r="Q28" i="8" s="1"/>
  <c r="K28" i="8"/>
  <c r="N27" i="8"/>
  <c r="M27" i="8"/>
  <c r="O27" i="8" s="1"/>
  <c r="Q27" i="8" s="1"/>
  <c r="L27" i="8"/>
  <c r="K27" i="8"/>
  <c r="O26" i="8"/>
  <c r="Q26" i="8" s="1"/>
  <c r="N26" i="8"/>
  <c r="M26" i="8"/>
  <c r="L26" i="8"/>
  <c r="K26" i="8"/>
  <c r="N25" i="8"/>
  <c r="M25" i="8"/>
  <c r="O25" i="8" s="1"/>
  <c r="Q25" i="8" s="1"/>
  <c r="L25" i="8"/>
  <c r="K25" i="8"/>
  <c r="N24" i="8"/>
  <c r="M24" i="8"/>
  <c r="L24" i="8"/>
  <c r="O24" i="8" s="1"/>
  <c r="Q24" i="8" s="1"/>
  <c r="K24" i="8"/>
  <c r="N23" i="8"/>
  <c r="M23" i="8"/>
  <c r="O23" i="8" s="1"/>
  <c r="Q23" i="8" s="1"/>
  <c r="L23" i="8"/>
  <c r="K23" i="8"/>
  <c r="O22" i="8"/>
  <c r="Q22" i="8" s="1"/>
  <c r="N22" i="8"/>
  <c r="M22" i="8"/>
  <c r="L22" i="8"/>
  <c r="K22" i="8"/>
  <c r="N21" i="8"/>
  <c r="M21" i="8"/>
  <c r="O21" i="8" s="1"/>
  <c r="Q21" i="8" s="1"/>
  <c r="L21" i="8"/>
  <c r="K21" i="8"/>
  <c r="N20" i="8"/>
  <c r="M20" i="8"/>
  <c r="L20" i="8"/>
  <c r="O20" i="8" s="1"/>
  <c r="Q20" i="8" s="1"/>
  <c r="K20" i="8"/>
  <c r="N19" i="8"/>
  <c r="M19" i="8"/>
  <c r="O19" i="8" s="1"/>
  <c r="Q19" i="8" s="1"/>
  <c r="L19" i="8"/>
  <c r="K19" i="8"/>
  <c r="O18" i="8"/>
  <c r="Q18" i="8" s="1"/>
  <c r="N18" i="8"/>
  <c r="M18" i="8"/>
  <c r="L18" i="8"/>
  <c r="K18" i="8"/>
  <c r="N17" i="8"/>
  <c r="M17" i="8"/>
  <c r="O17" i="8" s="1"/>
  <c r="Q17" i="8" s="1"/>
  <c r="L17" i="8"/>
  <c r="K17" i="8"/>
  <c r="N16" i="8"/>
  <c r="M16" i="8"/>
  <c r="L16" i="8"/>
  <c r="O16" i="8" s="1"/>
  <c r="Q16" i="8" s="1"/>
  <c r="K16" i="8"/>
  <c r="N15" i="8"/>
  <c r="M15" i="8"/>
  <c r="O15" i="8" s="1"/>
  <c r="Q15" i="8" s="1"/>
  <c r="L15" i="8"/>
  <c r="K15" i="8"/>
  <c r="O14" i="8"/>
  <c r="Q14" i="8" s="1"/>
  <c r="N14" i="8"/>
  <c r="M14" i="8"/>
  <c r="L14" i="8"/>
  <c r="K14" i="8"/>
  <c r="N13" i="8"/>
  <c r="M13" i="8"/>
  <c r="O13" i="8" s="1"/>
  <c r="Q13" i="8" s="1"/>
  <c r="L13" i="8"/>
  <c r="K13" i="8"/>
  <c r="N12" i="8"/>
  <c r="M12" i="8"/>
  <c r="L12" i="8"/>
  <c r="O12" i="8" s="1"/>
  <c r="Q12" i="8" s="1"/>
  <c r="K12" i="8"/>
  <c r="N11" i="8"/>
  <c r="M11" i="8"/>
  <c r="O11" i="8" s="1"/>
  <c r="Q11" i="8" s="1"/>
  <c r="L11" i="8"/>
  <c r="K11" i="8"/>
  <c r="O10" i="8"/>
  <c r="Q10" i="8" s="1"/>
  <c r="N10" i="8"/>
  <c r="M10" i="8"/>
  <c r="L10" i="8"/>
  <c r="K10" i="8"/>
  <c r="N9" i="8"/>
  <c r="N62" i="8" s="1"/>
  <c r="M9" i="8"/>
  <c r="M62" i="8" s="1"/>
  <c r="K9" i="8"/>
  <c r="G9" i="8"/>
  <c r="G62" i="8" s="1"/>
  <c r="L9" i="8" l="1"/>
  <c r="L62" i="8" l="1"/>
  <c r="O62" i="8" s="1"/>
  <c r="O9" i="8"/>
  <c r="Q9" i="8" s="1"/>
  <c r="G23" i="7" l="1"/>
  <c r="G24" i="7" s="1"/>
  <c r="K13" i="7"/>
  <c r="N12" i="7"/>
  <c r="M12" i="7"/>
  <c r="L12" i="7"/>
  <c r="O12" i="7" s="1"/>
  <c r="K12" i="7"/>
  <c r="N11" i="7"/>
  <c r="M11" i="7"/>
  <c r="L11" i="7"/>
  <c r="O11" i="7" s="1"/>
  <c r="K11" i="7"/>
  <c r="N10" i="7"/>
  <c r="O10" i="7" s="1"/>
  <c r="M10" i="7"/>
  <c r="L10" i="7"/>
  <c r="K10" i="7"/>
  <c r="N9" i="7"/>
  <c r="M9" i="7"/>
  <c r="L9" i="7"/>
  <c r="O9" i="7" s="1"/>
  <c r="O23" i="7" s="1"/>
  <c r="K9" i="7"/>
  <c r="H28" i="6" l="1"/>
  <c r="G28" i="6"/>
  <c r="I27" i="6"/>
  <c r="I26" i="6"/>
  <c r="I25" i="6"/>
  <c r="G25" i="6"/>
  <c r="I24" i="6"/>
  <c r="H24" i="6"/>
  <c r="I23" i="6"/>
  <c r="I22" i="6"/>
  <c r="I21" i="6"/>
  <c r="I20" i="6"/>
  <c r="I19" i="6"/>
  <c r="I18" i="6"/>
  <c r="I17" i="6"/>
  <c r="I16" i="6"/>
  <c r="I83" i="5" l="1"/>
  <c r="H83" i="5"/>
  <c r="G83" i="5"/>
  <c r="G73" i="5"/>
  <c r="G38" i="5"/>
  <c r="G26" i="5"/>
  <c r="G85" i="5" l="1"/>
  <c r="O9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34" authorId="0" shapeId="0" xr:uid="{B155C1B6-2AEE-4137-B26C-8A36AD654354}">
      <text>
        <r>
          <rPr>
            <b/>
            <sz val="9"/>
            <color indexed="81"/>
            <rFont val="Tahoma"/>
            <charset val="1"/>
          </rPr>
          <t>jun15 memo 223-PS</t>
        </r>
      </text>
    </comment>
    <comment ref="H37" authorId="0" shapeId="0" xr:uid="{23728A11-1FF6-470E-AF46-C873FF2F9ED5}">
      <text>
        <r>
          <rPr>
            <b/>
            <sz val="9"/>
            <color indexed="81"/>
            <rFont val="Tahoma"/>
            <charset val="1"/>
          </rPr>
          <t xml:space="preserve">jun15 memo 223-PS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16" authorId="0" shapeId="0" xr:uid="{8554B0AA-8626-44F5-93CB-F21B82BCD395}">
      <text>
        <r>
          <rPr>
            <b/>
            <sz val="9"/>
            <color indexed="81"/>
            <rFont val="Tahoma"/>
            <charset val="1"/>
          </rPr>
          <t>abr 28 memo 049-UC</t>
        </r>
      </text>
    </comment>
    <comment ref="H19" authorId="0" shapeId="0" xr:uid="{AE9543EE-140B-4B75-ACD6-A3804DB49939}">
      <text>
        <r>
          <rPr>
            <b/>
            <sz val="9"/>
            <color indexed="81"/>
            <rFont val="Tahoma"/>
            <charset val="1"/>
          </rPr>
          <t>abr 28 memo 049-UC</t>
        </r>
      </text>
    </comment>
    <comment ref="H20" authorId="0" shapeId="0" xr:uid="{E29FDB3D-810F-4622-B24A-E42BB04CB862}">
      <text>
        <r>
          <rPr>
            <b/>
            <sz val="9"/>
            <color indexed="81"/>
            <rFont val="Tahoma"/>
            <charset val="1"/>
          </rPr>
          <t>abr 28 memo 049-UC</t>
        </r>
      </text>
    </comment>
    <comment ref="H21" authorId="0" shapeId="0" xr:uid="{3D5FCB79-1E71-4C32-B6EC-8F362E84E8F8}">
      <text>
        <r>
          <rPr>
            <b/>
            <sz val="9"/>
            <color indexed="81"/>
            <rFont val="Tahoma"/>
            <charset val="1"/>
          </rPr>
          <t>abr 28 memo 049-UC</t>
        </r>
      </text>
    </comment>
    <comment ref="H24" authorId="0" shapeId="0" xr:uid="{6EBCCF01-CD95-4CA9-ADC4-2302E2630DB0}">
      <text>
        <r>
          <rPr>
            <b/>
            <sz val="9"/>
            <color indexed="81"/>
            <rFont val="Tahoma"/>
            <family val="2"/>
          </rPr>
          <t>30/03 Memo 036-UC
abr 28 memo 049-UC</t>
        </r>
      </text>
    </comment>
    <comment ref="H25" authorId="0" shapeId="0" xr:uid="{20F4B339-4DDA-43BE-A7BB-E64BFAC9F90F}">
      <text>
        <r>
          <rPr>
            <b/>
            <sz val="9"/>
            <color indexed="81"/>
            <rFont val="Tahoma"/>
            <family val="2"/>
          </rPr>
          <t xml:space="preserve">30/03 Memo 036-UC
</t>
        </r>
      </text>
    </comment>
    <comment ref="H27" authorId="0" shapeId="0" xr:uid="{76BC7EF9-4066-4420-A13D-7AEA8BCC1B80}">
      <text>
        <r>
          <rPr>
            <b/>
            <sz val="9"/>
            <color indexed="81"/>
            <rFont val="Tahoma"/>
            <charset val="1"/>
          </rPr>
          <t>abr 28 memo 049-UC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28" authorId="0" shapeId="0" xr:uid="{5E43D393-FF9B-401B-8D68-517BBA54574B}">
      <text>
        <r>
          <rPr>
            <b/>
            <sz val="9"/>
            <color indexed="81"/>
            <rFont val="Tahoma"/>
            <family val="2"/>
          </rPr>
          <t>06/04 MEMO 080-EDS</t>
        </r>
      </text>
    </comment>
    <comment ref="H31" authorId="0" shapeId="0" xr:uid="{43EABCCE-8625-41CF-AC36-D1B6936A96C7}">
      <text>
        <r>
          <rPr>
            <b/>
            <sz val="9"/>
            <color indexed="81"/>
            <rFont val="Tahoma"/>
            <charset val="1"/>
          </rPr>
          <t xml:space="preserve">25 abril memo 102-UDS-EDS
</t>
        </r>
      </text>
    </comment>
    <comment ref="H42" authorId="0" shapeId="0" xr:uid="{29869994-E239-4222-9691-68D0017042B5}">
      <text>
        <r>
          <rPr>
            <b/>
            <sz val="9"/>
            <color indexed="81"/>
            <rFont val="Tahoma"/>
            <family val="2"/>
          </rPr>
          <t>06/04 MEMO 080-EDS</t>
        </r>
        <r>
          <rPr>
            <sz val="9"/>
            <color indexed="81"/>
            <rFont val="Tahoma"/>
            <family val="2"/>
          </rPr>
          <t xml:space="preserve">
abr 29 memo 112-EDS</t>
        </r>
      </text>
    </comment>
    <comment ref="H43" authorId="0" shapeId="0" xr:uid="{AB5F87B4-2EC0-4E91-94D1-301AF99A3D8B}">
      <text>
        <r>
          <rPr>
            <b/>
            <sz val="9"/>
            <color indexed="81"/>
            <rFont val="Tahoma"/>
            <charset val="1"/>
          </rPr>
          <t>abr28 memo 109-eds</t>
        </r>
      </text>
    </comment>
    <comment ref="H45" authorId="0" shapeId="0" xr:uid="{E4C0B552-E3DB-4E22-9A15-D1A47CAB4486}">
      <text>
        <r>
          <rPr>
            <b/>
            <sz val="9"/>
            <color indexed="81"/>
            <rFont val="Tahoma"/>
            <charset val="1"/>
          </rPr>
          <t>25 abril memo 102-UDS-EDS</t>
        </r>
      </text>
    </comment>
    <comment ref="H46" authorId="0" shapeId="0" xr:uid="{C50FF8F4-4960-4496-9A59-CB1178F2058A}">
      <text>
        <r>
          <rPr>
            <b/>
            <sz val="9"/>
            <color indexed="81"/>
            <rFont val="Tahoma"/>
            <family val="2"/>
          </rPr>
          <t>06/04 MEMO 080-EDS</t>
        </r>
      </text>
    </comment>
    <comment ref="H51" authorId="0" shapeId="0" xr:uid="{899C8E43-5A19-4333-95E8-5880F5A55C3E}">
      <text>
        <r>
          <rPr>
            <b/>
            <sz val="9"/>
            <color indexed="81"/>
            <rFont val="Tahoma"/>
            <charset val="1"/>
          </rPr>
          <t>abr.27 memo 107-eds</t>
        </r>
      </text>
    </comment>
    <comment ref="H56" authorId="0" shapeId="0" xr:uid="{E572665B-6862-4221-BC83-39DF263CABDD}">
      <text>
        <r>
          <rPr>
            <b/>
            <sz val="9"/>
            <color indexed="81"/>
            <rFont val="Tahoma"/>
            <charset val="1"/>
          </rPr>
          <t>jun17 Memo 172-EDS</t>
        </r>
      </text>
    </comment>
    <comment ref="H72" authorId="0" shapeId="0" xr:uid="{07BFC795-C760-4504-89FD-F6D3752A8A72}">
      <text>
        <r>
          <rPr>
            <b/>
            <sz val="9"/>
            <color indexed="81"/>
            <rFont val="Tahoma"/>
            <charset val="1"/>
          </rPr>
          <t>27/abril memo 107-eds 
may 25 memo 141-eds</t>
        </r>
      </text>
    </comment>
    <comment ref="H75" authorId="0" shapeId="0" xr:uid="{B24F0C86-CF17-4487-8979-99D3F9E59A9B}">
      <text>
        <r>
          <rPr>
            <b/>
            <sz val="9"/>
            <color indexed="81"/>
            <rFont val="Tahoma"/>
            <charset val="1"/>
          </rPr>
          <t>jun17 Memo 172-EDS</t>
        </r>
      </text>
    </comment>
    <comment ref="H76" authorId="0" shapeId="0" xr:uid="{81A0822A-A5EF-4189-829A-9E26E70A2D5B}">
      <text>
        <r>
          <rPr>
            <b/>
            <sz val="9"/>
            <color indexed="81"/>
            <rFont val="Tahoma"/>
            <family val="2"/>
          </rPr>
          <t>06/04 MEMO 080-EDS            27/abril memo 107-eds
jun17 Memo 172-EDS</t>
        </r>
      </text>
    </comment>
    <comment ref="H84" authorId="0" shapeId="0" xr:uid="{8D51FE04-A807-4287-ADCD-C50B89EC7F64}">
      <text>
        <r>
          <rPr>
            <b/>
            <sz val="9"/>
            <color indexed="81"/>
            <rFont val="Tahoma"/>
            <charset val="1"/>
          </rPr>
          <t>abr28 memo 109-eds</t>
        </r>
      </text>
    </comment>
    <comment ref="H92" authorId="0" shapeId="0" xr:uid="{F8995EB6-82D1-42DF-AF09-7BF2D2C13846}">
      <text>
        <r>
          <rPr>
            <b/>
            <sz val="9"/>
            <color indexed="81"/>
            <rFont val="Tahoma"/>
            <charset val="1"/>
          </rPr>
          <t>jun17 Memo 172-EDS</t>
        </r>
      </text>
    </comment>
    <comment ref="H98" authorId="0" shapeId="0" xr:uid="{0C8C1877-20E2-4F63-9242-47E82CE26347}">
      <text>
        <r>
          <rPr>
            <b/>
            <sz val="9"/>
            <color indexed="81"/>
            <rFont val="Tahoma"/>
            <charset val="1"/>
          </rPr>
          <t>jun17 Memo 172-EDS</t>
        </r>
      </text>
    </comment>
    <comment ref="H106" authorId="0" shapeId="0" xr:uid="{425C71B4-C499-4307-8A8D-3468DA815372}">
      <text>
        <r>
          <rPr>
            <b/>
            <sz val="9"/>
            <color indexed="81"/>
            <rFont val="Tahoma"/>
            <charset val="1"/>
          </rPr>
          <t>25 abril memo 102-UDS-EDS</t>
        </r>
      </text>
    </comment>
    <comment ref="H107" authorId="0" shapeId="0" xr:uid="{D3D1B3A0-C754-4CEE-8578-E8FF0014563F}">
      <text>
        <r>
          <rPr>
            <b/>
            <sz val="9"/>
            <color indexed="81"/>
            <rFont val="Tahoma"/>
            <charset val="1"/>
          </rPr>
          <t>25 abril memo 102-UDS-EDS</t>
        </r>
        <r>
          <rPr>
            <sz val="9"/>
            <color indexed="81"/>
            <rFont val="Tahoma"/>
            <charset val="1"/>
          </rPr>
          <t xml:space="preserve">
</t>
        </r>
      </text>
    </comment>
    <comment ref="H109" authorId="0" shapeId="0" xr:uid="{E5B31C1C-0D9F-43B5-9483-FC6ABE4DADA5}">
      <text>
        <r>
          <rPr>
            <b/>
            <sz val="9"/>
            <color indexed="81"/>
            <rFont val="Tahoma"/>
            <charset val="1"/>
          </rPr>
          <t>abr 29 memo 112-EDS</t>
        </r>
      </text>
    </comment>
    <comment ref="H110" authorId="0" shapeId="0" xr:uid="{CACD77BD-DEA7-4EEC-AF5C-8FDE018DD134}">
      <text>
        <r>
          <rPr>
            <b/>
            <sz val="9"/>
            <color indexed="81"/>
            <rFont val="Tahoma"/>
            <charset val="1"/>
          </rPr>
          <t>abr 29 memo 112-EDS</t>
        </r>
      </text>
    </comment>
    <comment ref="H111" authorId="0" shapeId="0" xr:uid="{87661736-0D5C-4D54-B70C-E131F64F7981}">
      <text>
        <r>
          <rPr>
            <b/>
            <sz val="9"/>
            <color indexed="81"/>
            <rFont val="Tahoma"/>
            <charset val="1"/>
          </rPr>
          <t>abr28 memo 109-eds</t>
        </r>
      </text>
    </comment>
    <comment ref="H114" authorId="0" shapeId="0" xr:uid="{61046CA0-2737-4148-B01D-80DD3EE59D15}">
      <text>
        <r>
          <rPr>
            <b/>
            <sz val="9"/>
            <color indexed="81"/>
            <rFont val="Tahoma"/>
            <charset val="1"/>
          </rPr>
          <t>abr 27 Memo 107-eds
may 25 memo 141-eds</t>
        </r>
      </text>
    </comment>
    <comment ref="H117" authorId="0" shapeId="0" xr:uid="{BD9D1589-82D2-45E1-84DF-47CAD5BAAEA7}">
      <text>
        <r>
          <rPr>
            <b/>
            <sz val="9"/>
            <color indexed="81"/>
            <rFont val="Tahoma"/>
            <charset val="1"/>
          </rPr>
          <t>jun17 Memo 172-EDS</t>
        </r>
      </text>
    </comment>
    <comment ref="H118" authorId="0" shapeId="0" xr:uid="{3ED6936E-782F-48D8-8311-ADABE34B2233}">
      <text>
        <r>
          <rPr>
            <b/>
            <sz val="9"/>
            <color indexed="81"/>
            <rFont val="Tahoma"/>
            <charset val="1"/>
          </rPr>
          <t>jun17 Memo 172-EDS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Arq. Ivan</author>
    <author>Diego  Celleri</author>
    <author>Direccion Fomento</author>
    <author>Dmolina</author>
    <author>will kings</author>
  </authors>
  <commentList>
    <comment ref="H16" authorId="0" shapeId="0" xr:uid="{03419969-70C1-4BC0-BC25-86D8A3BAF06C}">
      <text>
        <r>
          <rPr>
            <b/>
            <sz val="9"/>
            <color indexed="81"/>
            <rFont val="Tahoma"/>
            <charset val="1"/>
          </rPr>
          <t>26/02 Memo 072-DF</t>
        </r>
      </text>
    </comment>
    <comment ref="H20" authorId="0" shapeId="0" xr:uid="{E3A3A0F8-2CFE-48ED-8D43-4F9974FBC5BB}">
      <text>
        <r>
          <rPr>
            <b/>
            <sz val="9"/>
            <color indexed="81"/>
            <rFont val="Tahoma"/>
            <charset val="1"/>
          </rPr>
          <t>memo 215-DAF de 25 de abril</t>
        </r>
      </text>
    </comment>
    <comment ref="F22" authorId="1" shapeId="0" xr:uid="{E95B2CAA-87FD-4D62-AD5D-652C840D7EC1}">
      <text>
        <r>
          <rPr>
            <b/>
            <sz val="9"/>
            <color indexed="81"/>
            <rFont val="Tahoma"/>
            <family val="2"/>
          </rPr>
          <t>Diego  Celleri:</t>
        </r>
        <r>
          <rPr>
            <sz val="9"/>
            <color indexed="81"/>
            <rFont val="Tahoma"/>
            <family val="2"/>
          </rPr>
          <t xml:space="preserve">
funguicidas hervicidas</t>
        </r>
      </text>
    </comment>
    <comment ref="F25" authorId="2" shapeId="0" xr:uid="{335F093D-33BD-4491-AB5A-5932E7BBA926}">
      <text>
        <r>
          <rPr>
            <b/>
            <sz val="9"/>
            <color indexed="81"/>
            <rFont val="Tahoma"/>
            <family val="2"/>
          </rPr>
          <t>Direccion Fomento:</t>
        </r>
        <r>
          <rPr>
            <sz val="9"/>
            <color indexed="81"/>
            <rFont val="Tahoma"/>
            <family val="2"/>
          </rPr>
          <t xml:space="preserve">
Adquisición de EPP, granja, planta de compostaje, relleno sanitario, areas verdes</t>
        </r>
      </text>
    </comment>
    <comment ref="F26" authorId="2" shapeId="0" xr:uid="{306BE2E5-F611-4747-AAE3-86211B529C3B}">
      <text>
        <r>
          <rPr>
            <b/>
            <sz val="9"/>
            <color indexed="81"/>
            <rFont val="Tahoma"/>
            <family val="2"/>
          </rPr>
          <t>Direccion Fomento:</t>
        </r>
        <r>
          <rPr>
            <sz val="9"/>
            <color indexed="81"/>
            <rFont val="Tahoma"/>
            <family val="2"/>
          </rPr>
          <t xml:space="preserve">
Adquisición de fungicidas, fertilizantes y herbicidas</t>
        </r>
      </text>
    </comment>
    <comment ref="H26" authorId="0" shapeId="0" xr:uid="{DA6E9D8D-27B0-4E70-A26C-78438C9CA302}">
      <text>
        <r>
          <rPr>
            <b/>
            <sz val="9"/>
            <color indexed="81"/>
            <rFont val="Tahoma"/>
            <family val="2"/>
          </rPr>
          <t>30/03 memo 167-DAF</t>
        </r>
      </text>
    </comment>
    <comment ref="F27" authorId="2" shapeId="0" xr:uid="{3EA86B87-854F-4FEA-A2F9-3FEBF40F0463}">
      <text>
        <r>
          <rPr>
            <b/>
            <sz val="9"/>
            <color indexed="81"/>
            <rFont val="Tahoma"/>
            <family val="2"/>
          </rPr>
          <t>Direccion Fomento:</t>
        </r>
        <r>
          <rPr>
            <sz val="9"/>
            <color indexed="81"/>
            <rFont val="Tahoma"/>
            <family val="2"/>
          </rPr>
          <t xml:space="preserve">
Adquisición de repuestos y materiales de mantenimient</t>
        </r>
      </text>
    </comment>
    <comment ref="F30" authorId="2" shapeId="0" xr:uid="{BC704402-CDC3-4C24-98E4-EE985D0C3E6D}">
      <text>
        <r>
          <rPr>
            <b/>
            <sz val="9"/>
            <color indexed="81"/>
            <rFont val="Tahoma"/>
            <family val="2"/>
          </rPr>
          <t>Direccion Fomento:</t>
        </r>
        <r>
          <rPr>
            <sz val="9"/>
            <color indexed="81"/>
            <rFont val="Tahoma"/>
            <family val="2"/>
          </rPr>
          <t xml:space="preserve">
para macetas de hierro y bicicletas para parque central</t>
        </r>
      </text>
    </comment>
    <comment ref="H30" authorId="0" shapeId="0" xr:uid="{8809488E-EE8D-41B0-BD43-5A56AFC8FEC4}">
      <text>
        <r>
          <rPr>
            <b/>
            <sz val="9"/>
            <color indexed="81"/>
            <rFont val="Tahoma"/>
            <family val="2"/>
          </rPr>
          <t xml:space="preserve">30/03 memo 167-DAF
</t>
        </r>
      </text>
    </comment>
    <comment ref="F37" authorId="1" shapeId="0" xr:uid="{182A21EE-9DBE-4636-B714-ADA5505D7DC2}">
      <text>
        <r>
          <rPr>
            <b/>
            <sz val="9"/>
            <color indexed="81"/>
            <rFont val="Tahoma"/>
            <family val="2"/>
          </rPr>
          <t>Diego  Celleri:</t>
        </r>
        <r>
          <rPr>
            <sz val="9"/>
            <color indexed="81"/>
            <rFont val="Tahoma"/>
            <family val="2"/>
          </rPr>
          <t xml:space="preserve">
transporte de personal</t>
        </r>
      </text>
    </comment>
    <comment ref="F40" authorId="2" shapeId="0" xr:uid="{C21ECFB8-E811-419C-8A7A-EB127433FA50}">
      <text>
        <r>
          <rPr>
            <b/>
            <sz val="9"/>
            <color indexed="81"/>
            <rFont val="Tahoma"/>
            <family val="2"/>
          </rPr>
          <t>Direccion Fomento:</t>
        </r>
        <r>
          <rPr>
            <sz val="9"/>
            <color indexed="81"/>
            <rFont val="Tahoma"/>
            <family val="2"/>
          </rPr>
          <t xml:space="preserve">
Adquisicón de insecticidas, fungicidas y hervicidas </t>
        </r>
      </text>
    </comment>
    <comment ref="H49" authorId="0" shapeId="0" xr:uid="{FC8C989E-842A-4E95-A8D0-29C2571D5189}">
      <text>
        <r>
          <rPr>
            <b/>
            <sz val="9"/>
            <color indexed="81"/>
            <rFont val="Tahoma"/>
            <charset val="1"/>
          </rPr>
          <t>memo 215-DAF de 25 de abril</t>
        </r>
      </text>
    </comment>
    <comment ref="H51" authorId="0" shapeId="0" xr:uid="{6D6A11BD-1511-4999-A87A-36805F221495}">
      <text>
        <r>
          <rPr>
            <b/>
            <sz val="9"/>
            <color indexed="81"/>
            <rFont val="Tahoma"/>
            <charset val="1"/>
          </rPr>
          <t>memo 215-DAF de 25 de abril</t>
        </r>
      </text>
    </comment>
    <comment ref="F52" authorId="2" shapeId="0" xr:uid="{E2307016-E986-44DB-9E9A-B2481DCA38CF}">
      <text>
        <r>
          <rPr>
            <b/>
            <sz val="9"/>
            <color indexed="81"/>
            <rFont val="Tahoma"/>
            <family val="2"/>
          </rPr>
          <t>Direccion Fomento:</t>
        </r>
        <r>
          <rPr>
            <sz val="9"/>
            <color indexed="81"/>
            <rFont val="Tahoma"/>
            <family val="2"/>
          </rPr>
          <t xml:space="preserve">
Analisis de las aguas lixiviadas. Analisis de las aguas del rio Yunganza </t>
        </r>
      </text>
    </comment>
    <comment ref="F53" authorId="2" shapeId="0" xr:uid="{A8331B71-E333-425E-9168-236C5135D5CA}">
      <text>
        <r>
          <rPr>
            <b/>
            <sz val="9"/>
            <color indexed="81"/>
            <rFont val="Tahoma"/>
            <family val="2"/>
          </rPr>
          <t>Direccion Fomento:</t>
        </r>
        <r>
          <rPr>
            <sz val="9"/>
            <color indexed="81"/>
            <rFont val="Tahoma"/>
            <family val="2"/>
          </rPr>
          <t xml:space="preserve">
Adquisicón de insecticidas, fungicidas y hervicidas </t>
        </r>
      </text>
    </comment>
    <comment ref="H53" authorId="0" shapeId="0" xr:uid="{5F501317-C53D-4D14-84E0-4373D76A78B7}">
      <text>
        <r>
          <rPr>
            <b/>
            <sz val="9"/>
            <color indexed="81"/>
            <rFont val="Tahoma"/>
            <family val="2"/>
          </rPr>
          <t>30/03 memo 167-DAF</t>
        </r>
      </text>
    </comment>
    <comment ref="H55" authorId="0" shapeId="0" xr:uid="{2546DE39-4C04-461B-BFEA-589F4B9E9AEB}">
      <text>
        <r>
          <rPr>
            <b/>
            <sz val="9"/>
            <color indexed="81"/>
            <rFont val="Tahoma"/>
            <charset val="1"/>
          </rPr>
          <t>memo 215 DAF- 25 de abril</t>
        </r>
      </text>
    </comment>
    <comment ref="F60" authorId="2" shapeId="0" xr:uid="{0DE727E5-FC98-42B2-9244-67E213B4A9D9}">
      <text>
        <r>
          <rPr>
            <b/>
            <sz val="9"/>
            <color indexed="81"/>
            <rFont val="Tahoma"/>
            <family val="2"/>
          </rPr>
          <t>Direccion Fomento:</t>
        </r>
        <r>
          <rPr>
            <sz val="9"/>
            <color indexed="81"/>
            <rFont val="Tahoma"/>
            <family val="2"/>
          </rPr>
          <t xml:space="preserve">
Capacitación en procesamiento de compost.</t>
        </r>
      </text>
    </comment>
    <comment ref="F64" authorId="3" shapeId="0" xr:uid="{467AC6DB-CA86-4E4E-BA5C-C18A2893B266}">
      <text>
        <r>
          <rPr>
            <b/>
            <sz val="9"/>
            <color indexed="81"/>
            <rFont val="Tahoma"/>
            <family val="2"/>
          </rPr>
          <t>Dmolina:</t>
        </r>
        <r>
          <rPr>
            <sz val="9"/>
            <color indexed="81"/>
            <rFont val="Tahoma"/>
            <family val="2"/>
          </rPr>
          <t xml:space="preserve">
mantenimiento anual del cuarto frigorífico y del camión frigorífico, instalación de biodigestor y de generador eléctrico</t>
        </r>
      </text>
    </comment>
    <comment ref="H71" authorId="0" shapeId="0" xr:uid="{AB13AFEB-C452-44BE-B658-327B60D79FD3}">
      <text>
        <r>
          <rPr>
            <b/>
            <sz val="9"/>
            <color indexed="81"/>
            <rFont val="Tahoma"/>
            <charset val="1"/>
          </rPr>
          <t>26/02 Memo 072-DF</t>
        </r>
      </text>
    </comment>
    <comment ref="H74" authorId="0" shapeId="0" xr:uid="{367B4949-CE1F-4050-91A0-55FD82A5092E}">
      <text>
        <r>
          <rPr>
            <b/>
            <sz val="9"/>
            <color indexed="81"/>
            <rFont val="Tahoma"/>
            <charset val="1"/>
          </rPr>
          <t>memo 215-DAF de 25 de abril</t>
        </r>
      </text>
    </comment>
    <comment ref="F75" authorId="3" shapeId="0" xr:uid="{44FBD8FF-4105-457A-8EDE-7AA7DD47DD87}">
      <text>
        <r>
          <rPr>
            <b/>
            <sz val="9"/>
            <color indexed="81"/>
            <rFont val="Tahoma"/>
            <family val="2"/>
          </rPr>
          <t>Dmolina:</t>
        </r>
        <r>
          <rPr>
            <sz val="9"/>
            <color indexed="81"/>
            <rFont val="Tahoma"/>
            <family val="2"/>
          </rPr>
          <t xml:space="preserve">
mantenimiento anual del cuarto frigorífico y del camión frigorífico, instalación de biodigestor y de generador eléctrico</t>
        </r>
      </text>
    </comment>
    <comment ref="F76" authorId="3" shapeId="0" xr:uid="{E18E880F-AF92-4BDB-AAA7-48018C356775}">
      <text>
        <r>
          <rPr>
            <b/>
            <sz val="9"/>
            <color indexed="81"/>
            <rFont val="Tahoma"/>
            <family val="2"/>
          </rPr>
          <t>Dmolina:</t>
        </r>
        <r>
          <rPr>
            <sz val="9"/>
            <color indexed="81"/>
            <rFont val="Tahoma"/>
            <family val="2"/>
          </rPr>
          <t xml:space="preserve">
compra de generador eléctrico, , plataforma de 3 niveles de acero inoxidable, canaleta de acero inoxidable para colecta de sangre durante el proceso de faenamiento, calefón, hidrolavadora y motoguadaña, luminómetro
</t>
        </r>
      </text>
    </comment>
    <comment ref="F77" authorId="3" shapeId="0" xr:uid="{7727A1AA-48F6-46B2-B1F8-453F59DB9075}">
      <text>
        <r>
          <rPr>
            <b/>
            <sz val="9"/>
            <color indexed="81"/>
            <rFont val="Tahoma"/>
            <family val="2"/>
          </rPr>
          <t>Dmolina:</t>
        </r>
        <r>
          <rPr>
            <sz val="9"/>
            <color indexed="81"/>
            <rFont val="Tahoma"/>
            <family val="2"/>
          </rPr>
          <t xml:space="preserve">
chaleco de guardia, instrumentos para guardiania, botas, overol, mandiles, cascos, guantes</t>
        </r>
      </text>
    </comment>
    <comment ref="F78" authorId="3" shapeId="0" xr:uid="{08CB3463-8DA6-4CC5-8AB0-F0C82EFE5DC2}">
      <text>
        <r>
          <rPr>
            <b/>
            <sz val="9"/>
            <color indexed="81"/>
            <rFont val="Tahoma"/>
            <family val="2"/>
          </rPr>
          <t>Dmolina:</t>
        </r>
        <r>
          <rPr>
            <sz val="9"/>
            <color indexed="81"/>
            <rFont val="Tahoma"/>
            <family val="2"/>
          </rPr>
          <t xml:space="preserve">
gasolina y aceite de ligar para podas alrededor del camal y aceite y diesel para el generador eléctrico</t>
        </r>
      </text>
    </comment>
    <comment ref="F79" authorId="3" shapeId="0" xr:uid="{F78FDD96-0AB1-4044-ADF1-B1D04D3B4296}">
      <text>
        <r>
          <rPr>
            <b/>
            <sz val="9"/>
            <color indexed="81"/>
            <rFont val="Tahoma"/>
            <family val="2"/>
          </rPr>
          <t>Dmolina:</t>
        </r>
        <r>
          <rPr>
            <sz val="9"/>
            <color indexed="81"/>
            <rFont val="Tahoma"/>
            <family val="2"/>
          </rPr>
          <t xml:space="preserve">
transporte de gas hasta el camal municipal</t>
        </r>
      </text>
    </comment>
    <comment ref="F80" authorId="3" shapeId="0" xr:uid="{547FA17D-8846-43A8-B411-93EB89675BA6}">
      <text>
        <r>
          <rPr>
            <b/>
            <sz val="9"/>
            <color indexed="81"/>
            <rFont val="Tahoma"/>
            <family val="2"/>
          </rPr>
          <t>Dmolina:</t>
        </r>
        <r>
          <rPr>
            <sz val="9"/>
            <color indexed="81"/>
            <rFont val="Tahoma"/>
            <family val="2"/>
          </rPr>
          <t xml:space="preserve">
hojas, tableros, esferos, cintas</t>
        </r>
      </text>
    </comment>
    <comment ref="F81" authorId="3" shapeId="0" xr:uid="{910BEB93-07B2-4FD9-89AC-931527AFD55A}">
      <text>
        <r>
          <rPr>
            <b/>
            <sz val="9"/>
            <color indexed="81"/>
            <rFont val="Tahoma"/>
            <family val="2"/>
          </rPr>
          <t>Dmolina:</t>
        </r>
        <r>
          <rPr>
            <sz val="9"/>
            <color indexed="81"/>
            <rFont val="Tahoma"/>
            <family val="2"/>
          </rPr>
          <t xml:space="preserve">
cloro granulado, detergente, jabón, anti sarro, cloro liquido, escobas, trapeadores, toallas de mano, papel, </t>
        </r>
      </text>
    </comment>
    <comment ref="F82" authorId="3" shapeId="0" xr:uid="{26C9F570-7A48-49B3-AFF6-D464C11BC1FD}">
      <text>
        <r>
          <rPr>
            <b/>
            <sz val="9"/>
            <color indexed="81"/>
            <rFont val="Tahoma"/>
            <family val="2"/>
          </rPr>
          <t>Dmolina:</t>
        </r>
        <r>
          <rPr>
            <sz val="9"/>
            <color indexed="81"/>
            <rFont val="Tahoma"/>
            <family val="2"/>
          </rPr>
          <t xml:space="preserve">
mangueras y demás para el baño de aspersión de animales antes de ingresar al cajón de aturdimiento, cemento, arena, ripio, pintura, varillas de acero para mantenimiento de corrales, paquetes de suelda, tubos de acero y hojas de zinc (construcción de estructura para biodigestores y generador electrico</t>
        </r>
      </text>
    </comment>
    <comment ref="H82" authorId="0" shapeId="0" xr:uid="{0CB103E7-8982-4BA5-B2BD-C3F34F2A37FE}">
      <text>
        <r>
          <rPr>
            <b/>
            <sz val="9"/>
            <color indexed="81"/>
            <rFont val="Tahoma"/>
            <charset val="1"/>
          </rPr>
          <t xml:space="preserve">memo 215-DAF 25 de abril
</t>
        </r>
      </text>
    </comment>
    <comment ref="F83" authorId="3" shapeId="0" xr:uid="{9E9DF6CB-39F4-406F-9717-575CC435D9E5}">
      <text>
        <r>
          <rPr>
            <b/>
            <sz val="9"/>
            <color indexed="81"/>
            <rFont val="Tahoma"/>
            <family val="2"/>
          </rPr>
          <t>Dmolina:</t>
        </r>
        <r>
          <rPr>
            <sz val="9"/>
            <color indexed="81"/>
            <rFont val="Tahoma"/>
            <family val="2"/>
          </rPr>
          <t xml:space="preserve">
sellos de acero inoxidable para marcar canales y candados para todo el camal </t>
        </r>
      </text>
    </comment>
    <comment ref="F84" authorId="3" shapeId="0" xr:uid="{22E39C77-2F19-447F-BA71-093D7790CD62}">
      <text>
        <r>
          <rPr>
            <b/>
            <sz val="9"/>
            <color indexed="81"/>
            <rFont val="Tahoma"/>
            <family val="2"/>
          </rPr>
          <t>Dmolina:</t>
        </r>
        <r>
          <rPr>
            <sz val="9"/>
            <color indexed="81"/>
            <rFont val="Tahoma"/>
            <family val="2"/>
          </rPr>
          <t xml:space="preserve">
ANALISIS DE AGUA </t>
        </r>
      </text>
    </comment>
    <comment ref="F86" authorId="3" shapeId="0" xr:uid="{1880949E-DAF1-4465-A125-10CD286EFFA6}">
      <text>
        <r>
          <rPr>
            <b/>
            <sz val="9"/>
            <color indexed="81"/>
            <rFont val="Tahoma"/>
            <family val="2"/>
          </rPr>
          <t>Dmolina:</t>
        </r>
        <r>
          <rPr>
            <sz val="9"/>
            <color indexed="81"/>
            <rFont val="Tahoma"/>
            <family val="2"/>
          </rPr>
          <t xml:space="preserve">
2 SIERRAS PARA PARTIR CANALES, 1 SIERRA PARA CORTAR PECHO, CUCHILLAS DE REPUESTO PARA LA TRASQUILADORA, CUCHILLOS PARA FAENAMIENTO, GAVETAS, FOCOS Y TACHOS CON RUEDAS DE 240 LITROS PARA ALMACENAR DESPOJOS</t>
        </r>
      </text>
    </comment>
    <comment ref="F87" authorId="3" shapeId="0" xr:uid="{4A4A40B1-853F-43AD-A5A5-F69AD69EB459}">
      <text>
        <r>
          <rPr>
            <b/>
            <sz val="9"/>
            <color indexed="81"/>
            <rFont val="Tahoma"/>
            <family val="2"/>
          </rPr>
          <t>Dmolina:</t>
        </r>
        <r>
          <rPr>
            <sz val="9"/>
            <color indexed="81"/>
            <rFont val="Tahoma"/>
            <family val="2"/>
          </rPr>
          <t xml:space="preserve">
RESUCITADOR AMBÚ, TUBOS ENDOTRAQUEALES, EQUIPOS DE CIRUGÍA, GASAS, GUANTES, BISTURÍS, HILO DE SUTURA
</t>
        </r>
      </text>
    </comment>
    <comment ref="F88" authorId="3" shapeId="0" xr:uid="{DAA5FEB7-CC45-45BF-8892-BFD95738D4B4}">
      <text>
        <r>
          <rPr>
            <b/>
            <sz val="9"/>
            <color indexed="81"/>
            <rFont val="Tahoma"/>
            <family val="2"/>
          </rPr>
          <t>Dmolina:</t>
        </r>
        <r>
          <rPr>
            <sz val="9"/>
            <color indexed="81"/>
            <rFont val="Tahoma"/>
            <family val="2"/>
          </rPr>
          <t xml:space="preserve">
CLORHEXIDINE, ALCOHOL, YODO, CLORO, JABÓN, DETERGENTE, ESCOBAS TOALLAS DE MANO</t>
        </r>
      </text>
    </comment>
    <comment ref="F89" authorId="3" shapeId="0" xr:uid="{3671D9EF-337A-4ACB-9347-B2BB6D0267E7}">
      <text>
        <r>
          <rPr>
            <b/>
            <sz val="9"/>
            <color indexed="81"/>
            <rFont val="Tahoma"/>
            <family val="2"/>
          </rPr>
          <t>Dmolina:</t>
        </r>
        <r>
          <rPr>
            <sz val="9"/>
            <color indexed="81"/>
            <rFont val="Tahoma"/>
            <family val="2"/>
          </rPr>
          <t xml:space="preserve">
TRASQUILADORA PARA PERROS, ESTERILIZADOR DE EQUIPOS DE CIRUGÍA, MONITOR DE SIGNOS VITALES Y LARINGOSCOPIO
</t>
        </r>
      </text>
    </comment>
    <comment ref="F90" authorId="3" shapeId="0" xr:uid="{97EF8A71-3BF6-4DB2-8316-82F53EE9FED0}">
      <text>
        <r>
          <rPr>
            <b/>
            <sz val="9"/>
            <color indexed="81"/>
            <rFont val="Tahoma"/>
            <family val="2"/>
          </rPr>
          <t>Dmolina:</t>
        </r>
        <r>
          <rPr>
            <sz val="9"/>
            <color indexed="81"/>
            <rFont val="Tahoma"/>
            <family val="2"/>
          </rPr>
          <t xml:space="preserve">
ALIMENTO DE PERROS, ANTIBIOTICOS, DESPARASITANTES, ANTI INFLAMATORIOS, SEDANTES Y ANESTÉSICOS, ATROPINA, ADRENALINA, DOXAPRAM, </t>
        </r>
      </text>
    </comment>
    <comment ref="F111" authorId="2" shapeId="0" xr:uid="{E92BF776-7394-44AD-8854-A0F1C08D9EAA}">
      <text>
        <r>
          <rPr>
            <b/>
            <sz val="9"/>
            <color indexed="81"/>
            <rFont val="Tahoma"/>
            <family val="2"/>
          </rPr>
          <t>Direccion Fomento:</t>
        </r>
        <r>
          <rPr>
            <sz val="9"/>
            <color indexed="81"/>
            <rFont val="Tahoma"/>
            <family val="2"/>
          </rPr>
          <t xml:space="preserve">
1 MOTOS</t>
        </r>
      </text>
    </comment>
    <comment ref="H119" authorId="0" shapeId="0" xr:uid="{3A842B00-4C0D-4A2D-82F2-A947B3E138CE}">
      <text>
        <r>
          <rPr>
            <b/>
            <sz val="9"/>
            <color indexed="81"/>
            <rFont val="Tahoma"/>
            <charset val="1"/>
          </rPr>
          <t>26/02 Memo 072-DF</t>
        </r>
      </text>
    </comment>
    <comment ref="F123" authorId="2" shapeId="0" xr:uid="{759EA596-DEF3-4BE0-A82F-E634FF7D337A}">
      <text>
        <r>
          <rPr>
            <b/>
            <sz val="9"/>
            <color indexed="81"/>
            <rFont val="Tahoma"/>
            <family val="2"/>
          </rPr>
          <t>Direccion Fomento:</t>
        </r>
        <r>
          <rPr>
            <sz val="9"/>
            <color indexed="81"/>
            <rFont val="Tahoma"/>
            <family val="2"/>
          </rPr>
          <t xml:space="preserve">
1 MOTOS</t>
        </r>
      </text>
    </comment>
    <comment ref="F124" authorId="2" shapeId="0" xr:uid="{BE5C8D7E-E05E-405A-975D-212BC8A98A5A}">
      <text>
        <r>
          <rPr>
            <b/>
            <sz val="9"/>
            <color indexed="81"/>
            <rFont val="Tahoma"/>
            <family val="2"/>
          </rPr>
          <t>Direccion Fomento:</t>
        </r>
        <r>
          <rPr>
            <sz val="9"/>
            <color indexed="81"/>
            <rFont val="Tahoma"/>
            <family val="2"/>
          </rPr>
          <t xml:space="preserve">
EPP</t>
        </r>
      </text>
    </comment>
    <comment ref="F125" authorId="2" shapeId="0" xr:uid="{F2EED0FA-1FE8-4EA4-B3EE-13B480A477C0}">
      <text>
        <r>
          <rPr>
            <b/>
            <sz val="9"/>
            <color indexed="81"/>
            <rFont val="Tahoma"/>
            <family val="2"/>
          </rPr>
          <t>Direccion Fomento:</t>
        </r>
        <r>
          <rPr>
            <sz val="9"/>
            <color indexed="81"/>
            <rFont val="Tahoma"/>
            <family val="2"/>
          </rPr>
          <t xml:space="preserve">
Adquirir dos navegadores portatiles GPS para realizar recorridos de control, vigilancia y monitorear áreas de vulnerables. Inversor de corriente</t>
        </r>
      </text>
    </comment>
    <comment ref="E129" authorId="4" shapeId="0" xr:uid="{732E8163-032B-4BA3-A8C8-778A43C4F4FB}">
      <text>
        <r>
          <rPr>
            <b/>
            <sz val="9"/>
            <color indexed="81"/>
            <rFont val="Tahoma"/>
            <family val="2"/>
          </rPr>
          <t>will kings:</t>
        </r>
        <r>
          <rPr>
            <sz val="9"/>
            <color indexed="81"/>
            <rFont val="Tahoma"/>
            <family val="2"/>
          </rPr>
          <t xml:space="preserve">
POR COSTOS DEBERIA DEFINIRSE COMO CAPITALIZABLES</t>
        </r>
      </text>
    </comment>
    <comment ref="F129" authorId="2" shapeId="0" xr:uid="{3C09E6B7-1E31-44B4-8E7F-A6406D0E37AA}">
      <text>
        <r>
          <rPr>
            <b/>
            <sz val="9"/>
            <color indexed="81"/>
            <rFont val="Tahoma"/>
            <family val="2"/>
          </rPr>
          <t>Direccion Fomento:</t>
        </r>
        <r>
          <rPr>
            <sz val="9"/>
            <color indexed="81"/>
            <rFont val="Tahoma"/>
            <family val="2"/>
          </rPr>
          <t xml:space="preserve">
Adquisición de 15 cámaras trampa, 16 redes de niebla, 20 trampas sherman y demás equipo para monitoreo de la biodiversidad</t>
        </r>
      </text>
    </comment>
    <comment ref="E131" authorId="4" shapeId="0" xr:uid="{C6730ED4-DD7E-41D3-B8AC-C1A34260669B}">
      <text>
        <r>
          <rPr>
            <b/>
            <sz val="9"/>
            <color indexed="81"/>
            <rFont val="Tahoma"/>
            <family val="2"/>
          </rPr>
          <t>will kings:</t>
        </r>
        <r>
          <rPr>
            <sz val="9"/>
            <color indexed="81"/>
            <rFont val="Tahoma"/>
            <family val="2"/>
          </rPr>
          <t xml:space="preserve">
COSTOS SUPERAN LAS </t>
        </r>
      </text>
    </comment>
    <comment ref="F131" authorId="2" shapeId="0" xr:uid="{C02EA3B4-EF22-4B43-80A2-9B2BD481CCF1}">
      <text>
        <r>
          <rPr>
            <b/>
            <sz val="9"/>
            <color indexed="81"/>
            <rFont val="Tahoma"/>
            <family val="2"/>
          </rPr>
          <t>Direccion Fomento:</t>
        </r>
        <r>
          <rPr>
            <sz val="9"/>
            <color indexed="81"/>
            <rFont val="Tahoma"/>
            <family val="2"/>
          </rPr>
          <t xml:space="preserve">
Adquisición de trampas Tomahawk y otros equipos para captura y reubicación de fauna silvestre.</t>
        </r>
      </text>
    </comment>
    <comment ref="F132" authorId="2" shapeId="0" xr:uid="{12158E23-4E70-455A-9DE1-325834695723}">
      <text>
        <r>
          <rPr>
            <b/>
            <sz val="9"/>
            <color indexed="81"/>
            <rFont val="Tahoma"/>
            <family val="2"/>
          </rPr>
          <t>Direccion Fomento:</t>
        </r>
        <r>
          <rPr>
            <sz val="9"/>
            <color indexed="81"/>
            <rFont val="Tahoma"/>
            <family val="2"/>
          </rPr>
          <t xml:space="preserve">
material promocional camisetas, gorrar tasas</t>
        </r>
      </text>
    </comment>
    <comment ref="F133" authorId="2" shapeId="0" xr:uid="{43458C36-539E-4B67-A47B-DC5F48A9983E}">
      <text>
        <r>
          <rPr>
            <b/>
            <sz val="9"/>
            <color indexed="81"/>
            <rFont val="Tahoma"/>
            <family val="2"/>
          </rPr>
          <t>Direccion Fomento:</t>
        </r>
        <r>
          <rPr>
            <sz val="9"/>
            <color indexed="81"/>
            <rFont val="Tahoma"/>
            <family val="2"/>
          </rPr>
          <t xml:space="preserve">
trasladar a visitantes escuelas colegios al área</t>
        </r>
      </text>
    </comment>
    <comment ref="H159" authorId="0" shapeId="0" xr:uid="{FD6F92C6-7561-4431-BF1D-D3890032AC3A}">
      <text>
        <r>
          <rPr>
            <b/>
            <sz val="9"/>
            <color indexed="81"/>
            <rFont val="Tahoma"/>
            <charset val="1"/>
          </rPr>
          <t>26/02 Memo 072-DF</t>
        </r>
      </text>
    </comment>
    <comment ref="H163" authorId="0" shapeId="0" xr:uid="{133BE2C1-6CDD-49C7-9A90-24BCA841F920}">
      <text>
        <r>
          <rPr>
            <b/>
            <sz val="9"/>
            <color indexed="81"/>
            <rFont val="Tahoma"/>
            <charset val="1"/>
          </rPr>
          <t>memo 215-DAF de 25 de abril</t>
        </r>
      </text>
    </comment>
    <comment ref="F164" authorId="3" shapeId="0" xr:uid="{6629ED63-C6F5-4E4F-8071-EA3D28BD4EDE}">
      <text>
        <r>
          <rPr>
            <b/>
            <sz val="9"/>
            <color indexed="81"/>
            <rFont val="Tahoma"/>
            <family val="2"/>
          </rPr>
          <t>Dmolina:</t>
        </r>
        <r>
          <rPr>
            <sz val="9"/>
            <color indexed="81"/>
            <rFont val="Tahoma"/>
            <family val="2"/>
          </rPr>
          <t xml:space="preserve">
balanceado, sales minerales, vitaminas, desparasitantes, antibióticos, vacunas, jeringas, agujas, desinfectantes y cal </t>
        </r>
      </text>
    </comment>
    <comment ref="F165" authorId="3" shapeId="0" xr:uid="{6F619880-396A-4DA4-8E9A-DFF6A4E108D8}">
      <text>
        <r>
          <rPr>
            <b/>
            <sz val="9"/>
            <color indexed="81"/>
            <rFont val="Tahoma"/>
            <family val="2"/>
          </rPr>
          <t>Dmolina:</t>
        </r>
        <r>
          <rPr>
            <sz val="9"/>
            <color indexed="81"/>
            <rFont val="Tahoma"/>
            <family val="2"/>
          </rPr>
          <t xml:space="preserve">
gasolina y aceite de ligar para podas alrededor del galpón de cuyes y mantenimiento de pastos
</t>
        </r>
      </text>
    </comment>
    <comment ref="F166" authorId="3" shapeId="0" xr:uid="{1D8DFF76-23FC-4356-B9DC-122A648A0D3C}">
      <text>
        <r>
          <rPr>
            <b/>
            <sz val="9"/>
            <color indexed="81"/>
            <rFont val="Tahoma"/>
            <family val="2"/>
          </rPr>
          <t>Dmolina:</t>
        </r>
        <r>
          <rPr>
            <sz val="9"/>
            <color indexed="81"/>
            <rFont val="Tahoma"/>
            <family val="2"/>
          </rPr>
          <t xml:space="preserve">
carretillas, palas, bombas de fumigar, machetes, sogas, playo y martillo</t>
        </r>
      </text>
    </comment>
    <comment ref="F167" authorId="3" shapeId="0" xr:uid="{A992088D-4725-4DB2-BABE-AE39E8363D99}">
      <text>
        <r>
          <rPr>
            <b/>
            <sz val="9"/>
            <color indexed="81"/>
            <rFont val="Tahoma"/>
            <family val="2"/>
          </rPr>
          <t>Dmolina:</t>
        </r>
        <r>
          <rPr>
            <sz val="9"/>
            <color indexed="81"/>
            <rFont val="Tahoma"/>
            <family val="2"/>
          </rPr>
          <t xml:space="preserve">
clavos, tiras de madera de diferentes dimensiones, tablas, tablones, hojas de zinc, cemento</t>
        </r>
      </text>
    </comment>
    <comment ref="F169" authorId="3" shapeId="0" xr:uid="{6D21756C-BB27-4D59-913F-1C427C7C6A7C}">
      <text>
        <r>
          <rPr>
            <b/>
            <sz val="9"/>
            <color indexed="81"/>
            <rFont val="Tahoma"/>
            <family val="2"/>
          </rPr>
          <t>Dmolina:</t>
        </r>
        <r>
          <rPr>
            <sz val="9"/>
            <color indexed="81"/>
            <rFont val="Tahoma"/>
            <family val="2"/>
          </rPr>
          <t xml:space="preserve">
balanceado, alcohol para preparar balanceado de alevines, hormona para reversión de alevines, antibióticos, azul de metileno, desinfectantes para los estanques
</t>
        </r>
      </text>
    </comment>
    <comment ref="F170" authorId="3" shapeId="0" xr:uid="{F96F7EC7-51BF-4BA4-A207-74B75119F187}">
      <text>
        <r>
          <rPr>
            <b/>
            <sz val="9"/>
            <color indexed="81"/>
            <rFont val="Tahoma"/>
            <family val="2"/>
          </rPr>
          <t>Dmolina:</t>
        </r>
        <r>
          <rPr>
            <sz val="9"/>
            <color indexed="81"/>
            <rFont val="Tahoma"/>
            <family val="2"/>
          </rPr>
          <t xml:space="preserve">
gasolina y aceite de ligar para podas alrededor del galpón los estanque</t>
        </r>
      </text>
    </comment>
    <comment ref="F171" authorId="3" shapeId="0" xr:uid="{89C9F77D-4B0F-4781-84DB-3E9F6E06E621}">
      <text>
        <r>
          <rPr>
            <b/>
            <sz val="9"/>
            <color indexed="81"/>
            <rFont val="Tahoma"/>
            <family val="2"/>
          </rPr>
          <t>Dmolina:</t>
        </r>
        <r>
          <rPr>
            <sz val="9"/>
            <color indexed="81"/>
            <rFont val="Tahoma"/>
            <family val="2"/>
          </rPr>
          <t xml:space="preserve">
tubos perfilados para los drenajes, tubos pvc, cinta para parchar geomembrana</t>
        </r>
      </text>
    </comment>
    <comment ref="F172" authorId="3" shapeId="0" xr:uid="{8F5FDF0E-1F5F-404A-8C2D-0978A198357D}">
      <text>
        <r>
          <rPr>
            <b/>
            <sz val="9"/>
            <color indexed="81"/>
            <rFont val="Tahoma"/>
            <family val="2"/>
          </rPr>
          <t>Dmolina:</t>
        </r>
        <r>
          <rPr>
            <sz val="9"/>
            <color indexed="81"/>
            <rFont val="Tahoma"/>
            <family val="2"/>
          </rPr>
          <t xml:space="preserve">
fundas quintaleras, fundas normales, refrigerantes, sernideras, tela blanca para captura de alevines, nylon, termos para transportar balanceado de alevines
</t>
        </r>
      </text>
    </comment>
    <comment ref="H176" authorId="0" shapeId="0" xr:uid="{940EA559-9B59-443B-8260-793C6A89BE0D}">
      <text>
        <r>
          <rPr>
            <b/>
            <sz val="9"/>
            <color indexed="81"/>
            <rFont val="Tahoma"/>
            <family val="2"/>
          </rPr>
          <t>30/03 memo 167-DAF</t>
        </r>
      </text>
    </comment>
    <comment ref="H183" authorId="0" shapeId="0" xr:uid="{A7E4E9C6-3AAC-4641-A5B8-C597DAF77085}">
      <text>
        <r>
          <rPr>
            <b/>
            <sz val="9"/>
            <color indexed="81"/>
            <rFont val="Tahoma"/>
            <family val="2"/>
          </rPr>
          <t>30/03 memo 167-DAF</t>
        </r>
      </text>
    </comment>
    <comment ref="F186" authorId="1" shapeId="0" xr:uid="{CD0F7459-C2F9-4103-8BFE-21CCE444E900}">
      <text>
        <r>
          <rPr>
            <b/>
            <sz val="9"/>
            <color indexed="81"/>
            <rFont val="Tahoma"/>
            <family val="2"/>
          </rPr>
          <t>Diego  Celleri:</t>
        </r>
        <r>
          <rPr>
            <sz val="9"/>
            <color indexed="81"/>
            <rFont val="Tahoma"/>
            <family val="2"/>
          </rPr>
          <t xml:space="preserve">
infraestructura par ainstalar laboratorio</t>
        </r>
      </text>
    </comment>
    <comment ref="G186" authorId="2" shapeId="0" xr:uid="{1FA41A3B-5928-42D7-A49B-44A0D2FF770D}">
      <text>
        <r>
          <rPr>
            <b/>
            <sz val="9"/>
            <color indexed="81"/>
            <rFont val="Tahoma"/>
            <family val="2"/>
          </rPr>
          <t>Direccion Fomento:</t>
        </r>
        <r>
          <rPr>
            <sz val="9"/>
            <color indexed="81"/>
            <rFont val="Tahoma"/>
            <family val="2"/>
          </rPr>
          <t xml:space="preserve">
ecografo, equipo de congelación, esteriomicroscopio, kit aspiracion, transportador</t>
        </r>
      </text>
    </comment>
    <comment ref="F192" authorId="2" shapeId="0" xr:uid="{CE696D12-0CB7-49F2-98F1-6271DAD120D1}">
      <text>
        <r>
          <rPr>
            <b/>
            <sz val="9"/>
            <color indexed="81"/>
            <rFont val="Tahoma"/>
            <family val="2"/>
          </rPr>
          <t>Direccion Fomento:</t>
        </r>
        <r>
          <rPr>
            <sz val="9"/>
            <color indexed="81"/>
            <rFont val="Tahoma"/>
            <family val="2"/>
          </rPr>
          <t xml:space="preserve">
para contratar a 2 personas por la modalidad de proyectos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54" authorId="0" shapeId="0" xr:uid="{8FFF933B-C2CE-4E91-BBB3-18E57BC92C30}">
      <text>
        <r>
          <rPr>
            <b/>
            <sz val="9"/>
            <color indexed="81"/>
            <rFont val="Tahoma"/>
            <charset val="1"/>
          </rPr>
          <t>may31 Memo 380-dosp</t>
        </r>
      </text>
    </comment>
    <comment ref="H63" authorId="0" shapeId="0" xr:uid="{43494458-5BAD-4453-91BD-DBD2C388FE97}">
      <text>
        <r>
          <rPr>
            <b/>
            <sz val="9"/>
            <color indexed="81"/>
            <rFont val="Tahoma"/>
            <charset val="1"/>
          </rPr>
          <t>26/02 Memo 072-DF</t>
        </r>
        <r>
          <rPr>
            <sz val="9"/>
            <color indexed="81"/>
            <rFont val="Tahoma"/>
            <charset val="1"/>
          </rPr>
          <t xml:space="preserve">
</t>
        </r>
      </text>
    </comment>
    <comment ref="H75" authorId="0" shapeId="0" xr:uid="{A00FA969-81AE-42D4-9CC1-7B2F12D2D032}">
      <text>
        <r>
          <rPr>
            <b/>
            <sz val="9"/>
            <color indexed="81"/>
            <rFont val="Tahoma"/>
            <charset val="1"/>
          </rPr>
          <t>02/02 memo 068-DOSP</t>
        </r>
      </text>
    </comment>
    <comment ref="H77" authorId="0" shapeId="0" xr:uid="{6C4E9385-0604-42E7-9C4D-BFED9E9E8854}">
      <text>
        <r>
          <rPr>
            <b/>
            <sz val="9"/>
            <color indexed="81"/>
            <rFont val="Tahoma"/>
            <charset val="1"/>
          </rPr>
          <t>21/01 Memo 045-DOSP</t>
        </r>
        <r>
          <rPr>
            <sz val="9"/>
            <color indexed="81"/>
            <rFont val="Tahoma"/>
            <charset val="1"/>
          </rPr>
          <t xml:space="preserve">
</t>
        </r>
      </text>
    </comment>
    <comment ref="H78" authorId="0" shapeId="0" xr:uid="{845A7029-156C-43B6-A599-0F96A2DA8479}">
      <text>
        <r>
          <rPr>
            <b/>
            <sz val="9"/>
            <color indexed="81"/>
            <rFont val="Tahoma"/>
            <family val="2"/>
          </rPr>
          <t xml:space="preserve">11/04 memo 240-DOSP
</t>
        </r>
      </text>
    </comment>
    <comment ref="H80" authorId="0" shapeId="0" xr:uid="{3ADDC435-83B0-46DC-A011-E697FCCA8C86}">
      <text>
        <r>
          <rPr>
            <b/>
            <sz val="9"/>
            <color indexed="81"/>
            <rFont val="Tahoma"/>
            <charset val="1"/>
          </rPr>
          <t>02/02 MEMO 068-DOSP</t>
        </r>
      </text>
    </comment>
    <comment ref="H82" authorId="0" shapeId="0" xr:uid="{13D54F75-3A8F-45A4-A5FD-A7E6D2E65A62}">
      <text>
        <r>
          <rPr>
            <b/>
            <sz val="9"/>
            <color indexed="81"/>
            <rFont val="Tahoma"/>
            <charset val="1"/>
          </rPr>
          <t>21/01 Memo 045-DOSP</t>
        </r>
        <r>
          <rPr>
            <sz val="9"/>
            <color indexed="81"/>
            <rFont val="Tahoma"/>
            <charset val="1"/>
          </rPr>
          <t xml:space="preserve">
</t>
        </r>
      </text>
    </comment>
    <comment ref="H84" authorId="0" shapeId="0" xr:uid="{B2693A5D-7095-42CB-9746-1CF47952BCB0}">
      <text>
        <r>
          <rPr>
            <b/>
            <sz val="9"/>
            <color indexed="81"/>
            <rFont val="Tahoma"/>
            <family val="2"/>
          </rPr>
          <t>11/04 MEMO 240-DOSP</t>
        </r>
        <r>
          <rPr>
            <sz val="9"/>
            <color indexed="81"/>
            <rFont val="Tahoma"/>
            <family val="2"/>
          </rPr>
          <t xml:space="preserve">
</t>
        </r>
      </text>
    </comment>
    <comment ref="H85" authorId="0" shapeId="0" xr:uid="{5AD692FB-6A7B-491E-8D6F-27B6057A403A}">
      <text>
        <r>
          <rPr>
            <b/>
            <sz val="9"/>
            <color indexed="81"/>
            <rFont val="Tahoma"/>
            <charset val="1"/>
          </rPr>
          <t>may26 Memo 371-dosp</t>
        </r>
      </text>
    </comment>
    <comment ref="H89" authorId="0" shapeId="0" xr:uid="{2A6DB870-D5F0-4AEC-8A75-4F15015AA20A}">
      <text>
        <r>
          <rPr>
            <b/>
            <sz val="9"/>
            <color indexed="81"/>
            <rFont val="Tahoma"/>
            <charset val="1"/>
          </rPr>
          <t>MEMO 057-SG Resolucion del concejo de Financiacion BDE</t>
        </r>
      </text>
    </comment>
    <comment ref="H90" authorId="0" shapeId="0" xr:uid="{18825920-F344-4301-96CD-652A3482C4EE}">
      <text>
        <r>
          <rPr>
            <b/>
            <sz val="9"/>
            <color indexed="81"/>
            <rFont val="Tahoma"/>
            <charset val="1"/>
          </rPr>
          <t>memo 057-SG Resolucion de concejo por Financiacion BDE</t>
        </r>
      </text>
    </comment>
    <comment ref="H94" authorId="0" shapeId="0" xr:uid="{37B5AE68-C9FC-46AF-8C92-12CEE64A9E77}">
      <text>
        <r>
          <rPr>
            <b/>
            <sz val="9"/>
            <color indexed="81"/>
            <rFont val="Tahoma"/>
            <family val="2"/>
          </rPr>
          <t xml:space="preserve">01/04 memo 215-DOSP
</t>
        </r>
      </text>
    </comment>
    <comment ref="H96" authorId="0" shapeId="0" xr:uid="{E4F6A6C2-8A19-41BF-97A9-F49AC3A8A8F8}">
      <text>
        <r>
          <rPr>
            <b/>
            <sz val="9"/>
            <color indexed="81"/>
            <rFont val="Tahoma"/>
            <charset val="1"/>
          </rPr>
          <t>may26 Memo 371-dosp</t>
        </r>
      </text>
    </comment>
    <comment ref="H125" authorId="0" shapeId="0" xr:uid="{35E9F2BA-597E-40EF-8373-62455D7F9ED8}">
      <text>
        <r>
          <rPr>
            <b/>
            <sz val="9"/>
            <color indexed="81"/>
            <rFont val="Tahoma"/>
            <charset val="1"/>
          </rPr>
          <t>may26 Memo 371-dosp</t>
        </r>
      </text>
    </comment>
    <comment ref="H127" authorId="0" shapeId="0" xr:uid="{A94C55B2-E5F3-44BA-AF8E-C326983DCDEB}">
      <text>
        <r>
          <rPr>
            <b/>
            <sz val="9"/>
            <color indexed="81"/>
            <rFont val="Tahoma"/>
            <charset val="1"/>
          </rPr>
          <t>may26 Memo 371-dosp</t>
        </r>
      </text>
    </comment>
    <comment ref="H128" authorId="0" shapeId="0" xr:uid="{7AEA8CA8-8F37-42F0-9BC6-C9B7C8B200C7}">
      <text>
        <r>
          <rPr>
            <b/>
            <sz val="9"/>
            <color indexed="81"/>
            <rFont val="Tahoma"/>
            <family val="2"/>
          </rPr>
          <t xml:space="preserve">02/03 Memo 124-DOSP
</t>
        </r>
        <r>
          <rPr>
            <sz val="9"/>
            <color indexed="81"/>
            <rFont val="Tahoma"/>
            <family val="2"/>
          </rPr>
          <t xml:space="preserve">
</t>
        </r>
      </text>
    </comment>
    <comment ref="H131" authorId="0" shapeId="0" xr:uid="{6E7B8456-7E0B-4663-9041-7E441D2E9DBB}">
      <text>
        <r>
          <rPr>
            <b/>
            <sz val="9"/>
            <color indexed="81"/>
            <rFont val="Tahoma"/>
            <charset val="1"/>
          </rPr>
          <t>may31 Memo 380-dosp</t>
        </r>
      </text>
    </comment>
    <comment ref="H132" authorId="0" shapeId="0" xr:uid="{4925F791-EE5E-4CDD-8E5A-86D9F69C1919}">
      <text>
        <r>
          <rPr>
            <b/>
            <sz val="9"/>
            <color indexed="81"/>
            <rFont val="Tahoma"/>
            <family val="2"/>
          </rPr>
          <t>01/04 memo 215-DOSP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17" authorId="0" shapeId="0" xr:uid="{0C20B02A-66D2-42B0-BB62-C3B2DD824919}">
      <text>
        <r>
          <rPr>
            <b/>
            <sz val="9"/>
            <color indexed="81"/>
            <rFont val="Tahoma"/>
            <charset val="1"/>
          </rPr>
          <t>21/01 Memo 045-DOSP</t>
        </r>
      </text>
    </comment>
    <comment ref="H37" authorId="0" shapeId="0" xr:uid="{A0E50D3A-C384-4A7B-8FAC-1CB150971FDB}">
      <text>
        <r>
          <rPr>
            <b/>
            <sz val="9"/>
            <color indexed="81"/>
            <rFont val="Tahoma"/>
            <charset val="1"/>
          </rPr>
          <t>21/01 Memo 045-DOSP</t>
        </r>
      </text>
    </comment>
    <comment ref="H38" authorId="0" shapeId="0" xr:uid="{8BBA4FD0-EEF6-4481-8A28-5077D1FEEB4A}">
      <text>
        <r>
          <rPr>
            <b/>
            <sz val="9"/>
            <color indexed="81"/>
            <rFont val="Tahoma"/>
            <charset val="1"/>
          </rPr>
          <t>21/01 Memo 045-DOSP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Arq. Ivan</author>
  </authors>
  <commentList>
    <comment ref="H38" authorId="0" shapeId="0" xr:uid="{E23F593F-AECF-4521-8546-E15974155501}">
      <text>
        <r>
          <rPr>
            <b/>
            <sz val="9"/>
            <color indexed="81"/>
            <rFont val="Tahoma"/>
            <family val="2"/>
          </rPr>
          <t>02/03 Memo 124-DOSP</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Arq. Ivan</author>
    <author>will kings</author>
    <author>GADMLI</author>
    <author>tc={DC69E18A-A620-4CC6-B641-7960A638021B}</author>
  </authors>
  <commentList>
    <comment ref="H15" authorId="0" shapeId="0" xr:uid="{D37969C0-258C-45D6-A174-865BE26E11DB}">
      <text>
        <r>
          <rPr>
            <b/>
            <sz val="9"/>
            <color indexed="81"/>
            <rFont val="Tahoma"/>
            <charset val="1"/>
          </rPr>
          <t>jun22 memo 247-uectd</t>
        </r>
      </text>
    </comment>
    <comment ref="H19" authorId="0" shapeId="0" xr:uid="{0FB9EF8A-B82A-4FDF-BE13-0BE71D9EFA91}">
      <text>
        <r>
          <rPr>
            <b/>
            <sz val="9"/>
            <color indexed="81"/>
            <rFont val="Tahoma"/>
            <family val="2"/>
          </rPr>
          <t>17/03 Memo 087-UECTD</t>
        </r>
      </text>
    </comment>
    <comment ref="H20" authorId="0" shapeId="0" xr:uid="{390D1650-68F7-4268-B110-1D055F444EF5}">
      <text>
        <r>
          <rPr>
            <b/>
            <sz val="9"/>
            <color indexed="81"/>
            <rFont val="Tahoma"/>
            <family val="2"/>
          </rPr>
          <t>17/03 Memo 087-UECTD</t>
        </r>
      </text>
    </comment>
    <comment ref="H21" authorId="0" shapeId="0" xr:uid="{8CCEECBF-02E3-466F-BF61-C5E35ECC6D78}">
      <text>
        <r>
          <rPr>
            <b/>
            <sz val="9"/>
            <color indexed="81"/>
            <rFont val="Tahoma"/>
            <charset val="1"/>
          </rPr>
          <t>25/01 Memo 012-UECTD</t>
        </r>
      </text>
    </comment>
    <comment ref="C22" authorId="1" shapeId="0" xr:uid="{09CE5949-CB95-4881-8E04-A29C86842348}">
      <text>
        <r>
          <rPr>
            <b/>
            <sz val="9"/>
            <color indexed="81"/>
            <rFont val="Tahoma"/>
            <charset val="1"/>
          </rPr>
          <t>will kings:</t>
        </r>
        <r>
          <rPr>
            <sz val="9"/>
            <color indexed="81"/>
            <rFont val="Tahoma"/>
            <charset val="1"/>
          </rPr>
          <t xml:space="preserve">
que se incluya en las fiestas de Diciembre</t>
        </r>
      </text>
    </comment>
    <comment ref="H47" authorId="0" shapeId="0" xr:uid="{1F97E368-C982-44DF-9F98-970AEC6A8CE0}">
      <text>
        <r>
          <rPr>
            <b/>
            <sz val="9"/>
            <color indexed="81"/>
            <rFont val="Tahoma"/>
            <charset val="1"/>
          </rPr>
          <t>jun22 memo 247-uectd</t>
        </r>
      </text>
    </comment>
    <comment ref="G49" authorId="2" shapeId="0" xr:uid="{6A222FE0-7EE4-41EB-AB53-2ED4E0AB203D}">
      <text>
        <r>
          <rPr>
            <b/>
            <sz val="9"/>
            <color indexed="81"/>
            <rFont val="Tahoma"/>
            <family val="2"/>
          </rPr>
          <t>GADMLI:</t>
        </r>
        <r>
          <rPr>
            <sz val="9"/>
            <color indexed="81"/>
            <rFont val="Tahoma"/>
            <family val="2"/>
          </rPr>
          <t xml:space="preserve">mas Cabana campo alegre 20000
</t>
        </r>
      </text>
    </comment>
    <comment ref="G51" authorId="2" shapeId="0" xr:uid="{67817BC6-934B-4182-BF16-C675C11BA593}">
      <text>
        <r>
          <rPr>
            <b/>
            <sz val="9"/>
            <color indexed="81"/>
            <rFont val="Tahoma"/>
            <family val="2"/>
          </rPr>
          <t>GADMLI:</t>
        </r>
        <r>
          <rPr>
            <sz val="9"/>
            <color indexed="81"/>
            <rFont val="Tahoma"/>
            <family val="2"/>
          </rPr>
          <t xml:space="preserve">
Mantenimiento mirador Cerro Bosco</t>
        </r>
      </text>
    </comment>
    <comment ref="H69" authorId="0" shapeId="0" xr:uid="{28475329-2C46-475B-A2D4-FD8884347B9E}">
      <text>
        <r>
          <rPr>
            <b/>
            <sz val="9"/>
            <color indexed="81"/>
            <rFont val="Tahoma"/>
            <charset val="1"/>
          </rPr>
          <t>25/01 Memo 012-UECTD</t>
        </r>
      </text>
    </comment>
    <comment ref="C70" authorId="1" shapeId="0" xr:uid="{1B6A14C8-84FA-448F-B693-26D490B47A9E}">
      <text>
        <r>
          <rPr>
            <b/>
            <sz val="9"/>
            <color indexed="81"/>
            <rFont val="Tahoma"/>
            <family val="2"/>
          </rPr>
          <t>will kings:</t>
        </r>
        <r>
          <rPr>
            <sz val="9"/>
            <color indexed="81"/>
            <rFont val="Tahoma"/>
            <family val="2"/>
          </rPr>
          <t xml:space="preserve">
YA NO SERIA CONJUNTA</t>
        </r>
      </text>
    </comment>
    <comment ref="C71" authorId="3" shapeId="0" xr:uid="{9E7D649F-4A3B-49C2-A707-9E13EA343CA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memo 012-UECTD</t>
        </r>
      </text>
    </comment>
    <comment ref="H71" authorId="0" shapeId="0" xr:uid="{31642699-BA4D-40B1-A66B-B0D49BFF7FC0}">
      <text>
        <r>
          <rPr>
            <b/>
            <sz val="9"/>
            <color indexed="81"/>
            <rFont val="Tahoma"/>
            <charset val="1"/>
          </rPr>
          <t>25/01 Memo 012-UECTD</t>
        </r>
      </text>
    </comment>
  </commentList>
</comments>
</file>

<file path=xl/sharedStrings.xml><?xml version="1.0" encoding="utf-8"?>
<sst xmlns="http://schemas.openxmlformats.org/spreadsheetml/2006/main" count="1894" uniqueCount="1020">
  <si>
    <t>Área/Proyecto</t>
  </si>
  <si>
    <t>Responsable</t>
  </si>
  <si>
    <t>PLANIFICACIÓN INSTITUCIONAL</t>
  </si>
  <si>
    <t>CRONOGRAMA DE EJECUCIÓN EN CUATRIMESTRES</t>
  </si>
  <si>
    <t>PROGRAMACION FÍSICA DE LA META</t>
  </si>
  <si>
    <t>CRONOGRAMA DE EJECUCIÓN PRESUPUESTARIA</t>
  </si>
  <si>
    <t>Objetivo</t>
  </si>
  <si>
    <t>Política</t>
  </si>
  <si>
    <t>Objetivo Estratégico PDOT</t>
  </si>
  <si>
    <t>Meta del Objetivo</t>
  </si>
  <si>
    <t>PROGRAMA</t>
  </si>
  <si>
    <t>PROYECTO</t>
  </si>
  <si>
    <t>Actividad</t>
  </si>
  <si>
    <t>Grupo de gasto</t>
  </si>
  <si>
    <t>Partida presupuestaria</t>
  </si>
  <si>
    <t>C 1</t>
  </si>
  <si>
    <t>C2</t>
  </si>
  <si>
    <t>C 3</t>
  </si>
  <si>
    <t>Total</t>
  </si>
  <si>
    <t>TRANSPORTE DE PERSONAL</t>
  </si>
  <si>
    <t>SERVICIOS PERSONALES POR CONTRATO</t>
  </si>
  <si>
    <t>TALENTO HUMANO</t>
  </si>
  <si>
    <t xml:space="preserve">DESARROLLO ACTUALIZACION ASISTENCIA TECNICA Y SOPORTE DE SISTEMAS INFORMATICOS </t>
  </si>
  <si>
    <t>EQUIPOS SISTEMAS Y PAQUETES INFORMATICOS</t>
  </si>
  <si>
    <t>Adquirir toners, tintas, cartuchos y suministros para las impresoras y copiadoras del GADMLI</t>
  </si>
  <si>
    <t>MATERIALES DE OFICINA</t>
  </si>
  <si>
    <t>REPUESTOS Y ACCESORIOS</t>
  </si>
  <si>
    <t>MANTENIMIENTO Y REPARACION DE EQUIPOS Y SISTEMAS INFORMATICOS</t>
  </si>
  <si>
    <t>Mobiliario</t>
  </si>
  <si>
    <t>Equipos, Sistemas y Paquetes Informáticos</t>
  </si>
  <si>
    <t>Ejecución presupuestaria</t>
  </si>
  <si>
    <t>Porcentaje</t>
  </si>
  <si>
    <t>Alcanzar el 98% de ejecución del presupuesto asignado</t>
  </si>
  <si>
    <t>Repuestos y accesorios</t>
  </si>
  <si>
    <t xml:space="preserve">LIMÓN DIGITAL </t>
  </si>
  <si>
    <t>(Presupuesto ejecutado por gastos en adquisición de suministros para impresoras y copiadoras/Presupuesto asignado para la adquisición de suministros para copiadoras e impresoras )*100</t>
  </si>
  <si>
    <t>Servicio de Correo</t>
  </si>
  <si>
    <t>Contratación del servicio de aseo y lavado para insumos del GADMLI</t>
  </si>
  <si>
    <t>Seguros</t>
  </si>
  <si>
    <t>Renovación de Pólizas y contratación de seguros para los activos del GADMLI</t>
  </si>
  <si>
    <t>(Presupuesto ejecutado/Presupuesto asignado  )*100</t>
  </si>
  <si>
    <t>MATERIALES DE ASEO</t>
  </si>
  <si>
    <t>Adquisición de materiales de oficina para las Direcciones y Unidades administrativas del GADMLI</t>
  </si>
  <si>
    <t>Adquisición de materiales de construccion y electricidad para la gestión de proyectos en el GADMLI</t>
  </si>
  <si>
    <t xml:space="preserve">Insumos, materiales, suministros para la construcción, electricidad, plomeria, carpinteria, señalización vial, navegación, contra incendios y placas </t>
  </si>
  <si>
    <t>Partes y repuestos</t>
  </si>
  <si>
    <t>Eventos Públicos Promocionales</t>
  </si>
  <si>
    <t>Contratación de organización y ejecución de ferias, exposiciones, ruedas de negocios y negociaciones, incluyendo alquiler,  montaje, desmontaje, logística, organización, ejecución y otros relacionados con eventos públicos promocionales nacionales e
internacionales del GAD Municipal de Limón Indanza.</t>
  </si>
  <si>
    <t>Servicios Generales para Subastas, Arriendos y Remates</t>
  </si>
  <si>
    <t>Gastos para proceso de remate de bienes del GAD Municipal de Limón Indanza</t>
  </si>
  <si>
    <t>Costas Judiciales, Trámites Notariales, Legalización de Documentos y Arreglos Extrajudiciales</t>
  </si>
  <si>
    <t>HONORARIOS</t>
  </si>
  <si>
    <t>COMPENSACION POR VACACIONES NO GOZADAS POR CESACION DE FUNCIONES</t>
  </si>
  <si>
    <t>Consultoría, Asesoría e Investigación Especializada</t>
  </si>
  <si>
    <t>maquinarias y equipos</t>
  </si>
  <si>
    <t>510.53.08.04</t>
  </si>
  <si>
    <t>510.53.08.05</t>
  </si>
  <si>
    <t>indemnizacion por sentencias judiciales</t>
  </si>
  <si>
    <t>MANTENIMIENTO Y REPARACION DE EQUIPOS y maquinarias</t>
  </si>
  <si>
    <t>Procuraduria Sindica</t>
  </si>
  <si>
    <t>TELEFONIA IP</t>
  </si>
  <si>
    <t>GASTOS COMUNES</t>
  </si>
  <si>
    <t>Adquisición de materiales de oaseo para las Direcciones y Unidades administrativas del GADMLI</t>
  </si>
  <si>
    <t>EQUIPAMIENTO DEPARTAMENTAL</t>
  </si>
  <si>
    <t>ADMINISTRACION GENERAL</t>
  </si>
  <si>
    <t>SEGURIDAD TELEMATICA</t>
  </si>
  <si>
    <t>PROYECTOS TECNOLOGICOS</t>
  </si>
  <si>
    <t>MANTENIMIENTO DE EQUIPOS TECNOLOGICOS</t>
  </si>
  <si>
    <t>SOFTWARE INSTITUCIONAL</t>
  </si>
  <si>
    <t>LICENCIA REMUNERADA</t>
  </si>
  <si>
    <t>530804</t>
  </si>
  <si>
    <t>SUBROGACION</t>
  </si>
  <si>
    <t>PASAJES AL INTERIOR</t>
  </si>
  <si>
    <t>PASAJES AL EXTERIOR</t>
  </si>
  <si>
    <t>VIATICOS Y SUBSISTENCIAS EN EL INTERIOR</t>
  </si>
  <si>
    <t>VIATICOS Y SUBSISTENCIAS EN EL EXTERIOR</t>
  </si>
  <si>
    <t>530704</t>
  </si>
  <si>
    <t>530601</t>
  </si>
  <si>
    <t>530604</t>
  </si>
  <si>
    <t>530701</t>
  </si>
  <si>
    <t>840107</t>
  </si>
  <si>
    <t>530404</t>
  </si>
  <si>
    <t>MANTENIMIENTO Y REPARACION DE EQUIPOS</t>
  </si>
  <si>
    <t>Remuneraciones unificadas</t>
  </si>
  <si>
    <t>DECIMO TERCER SUELDO</t>
  </si>
  <si>
    <t>DECIMO CUARTO</t>
  </si>
  <si>
    <t>APORTE PATRONAL</t>
  </si>
  <si>
    <t>FONDOS DE RESERVA</t>
  </si>
  <si>
    <t>SERVICIOS PERSONALES POR CONTRAT</t>
  </si>
  <si>
    <t>GESTION OPERATIVA</t>
  </si>
  <si>
    <t>DESARROLLO SOCIAL</t>
  </si>
  <si>
    <t>PLAN  NACIONAL DE DESARROLLO</t>
  </si>
  <si>
    <t>PLAN DE DESARROLLO CANTONAL</t>
  </si>
  <si>
    <t>Lograr que politicas positivas para la poblacion en situaciones de vulnerabilidad se visualicen y procuren la igualdad de derechos, mediante la atención integral a los grupos de atención prioritaria del Cantón.</t>
  </si>
  <si>
    <t>Indicador Operativo</t>
  </si>
  <si>
    <t>Presupuesto programado</t>
  </si>
  <si>
    <t>530106</t>
  </si>
  <si>
    <t>TIC'S</t>
  </si>
  <si>
    <t>53.08.05</t>
  </si>
  <si>
    <t>57.02.06</t>
  </si>
  <si>
    <t>84.01.03</t>
  </si>
  <si>
    <t>53.04.04</t>
  </si>
  <si>
    <t>570201</t>
  </si>
  <si>
    <t>.53.02.53</t>
  </si>
  <si>
    <t>53.08.11</t>
  </si>
  <si>
    <t>53.02.49</t>
  </si>
  <si>
    <t>53.02.09</t>
  </si>
  <si>
    <t>510510</t>
  </si>
  <si>
    <t>53.08.13</t>
  </si>
  <si>
    <t>53.14.11</t>
  </si>
  <si>
    <t>ADMINISTRACION EJECUTIVA</t>
  </si>
  <si>
    <t>PERITAJES</t>
  </si>
  <si>
    <t>SERVICIOS DE ASEO, FUMIGACION, LAVADO Y LIMPIEZA</t>
  </si>
  <si>
    <t>SECRETARIA GRAL.</t>
  </si>
  <si>
    <t>GERENCIA ADMINISTRATIVA</t>
  </si>
  <si>
    <t>530704.01</t>
  </si>
  <si>
    <t>MANTENIMIENTO Y REPARACION DE EQUIPOS Y SISTEMAS INFORMATICOS-2021</t>
  </si>
  <si>
    <t>Reformas</t>
  </si>
  <si>
    <t>Codificado</t>
  </si>
  <si>
    <t>COMUNICACION</t>
  </si>
  <si>
    <t>Posicionar a la actual administración, transparentando sus actividades y difundiendo su accionar para que toda la ciudadanía tenga conocimiento de las actividades que se realizan.</t>
  </si>
  <si>
    <t>Codificaciones</t>
  </si>
  <si>
    <t>Reforma</t>
  </si>
  <si>
    <t>ADMINISTRACION ESTRATEGICA</t>
  </si>
  <si>
    <t>GESTION DE RECURSOS HUMANOS</t>
  </si>
  <si>
    <t>REMUNERACIONES UNIFICADAS</t>
  </si>
  <si>
    <t>Cobertura y difucion de las actividades diarias del GADMLI</t>
  </si>
  <si>
    <t>DECIMO CUARTO SUELDO</t>
  </si>
  <si>
    <t>FONDO DE RESERVA</t>
  </si>
  <si>
    <t>MATERIAL DE OFICINA (PAPELERIA CUCHE A3, RESMAS)</t>
  </si>
  <si>
    <t>Adquisición de materiales de oficina para la Unidad de Comunicación</t>
  </si>
  <si>
    <t>CAPACITACIÓN A SERVIDORES PÚBLICOS</t>
  </si>
  <si>
    <t xml:space="preserve">VIATICOS Y SUBSISTENCIAS EN EL INTERIOR </t>
  </si>
  <si>
    <t>Solventar gastos de los funcionarios públicos en las diferentes coberturas por parte de la maxima autoridad</t>
  </si>
  <si>
    <t>EQUIPAMIENTO OPERATIVO</t>
  </si>
  <si>
    <t>Adquisición de repuestos y equipos informáticos para la unidad de comunicación</t>
  </si>
  <si>
    <t>Tener al mejor equipo profesional capacitado con los equipos necesarios para las coberturas diarias</t>
  </si>
  <si>
    <t>EQUIPOS PAQ Y SISTEMAS INFORMATICOS</t>
  </si>
  <si>
    <t>mantenimiento de equipo informaticos</t>
  </si>
  <si>
    <t>MOBILIARIOS (SILLAS PRIORIDAD)  O BIENES MUEBLES</t>
  </si>
  <si>
    <t xml:space="preserve">Equipar a la Unidad de Comunicación para mantener protegidos los equipos de comunicación </t>
  </si>
  <si>
    <t>MAQUINARIAS Y EQUIPOS (INT. MANTENIMIENTO Y REPARACIÒN)</t>
  </si>
  <si>
    <t>Proteger el bien para continuar cn el uso correspondiente</t>
  </si>
  <si>
    <t>EXTERNALIZACION DE LA IMAGEN LOCAL</t>
  </si>
  <si>
    <t>DIFUSION COMUNICACIONAL</t>
  </si>
  <si>
    <t>Edición,Impresión,Reproducción ( VALLAS PUBLICITARIAS)</t>
  </si>
  <si>
    <t>VALLAS PUBLICITARIAS</t>
  </si>
  <si>
    <t>Promover el empendimiento y turismo a traves de publicidad en la carretera</t>
  </si>
  <si>
    <t>DIFUSIÒN, INFORMACION Y PUBLICIDAD  (MEDIOS DE COMUNICACIÓN-PAUTAJE- PERIODICO) 2000 * 5 MEDIOS =400</t>
  </si>
  <si>
    <t xml:space="preserve">PAUTAJE CON LOS MEDIOS DE COMUNICACIÓN </t>
  </si>
  <si>
    <t>Difundir y posicionar a Limón Indanza, turisco y emprendedor</t>
  </si>
  <si>
    <t>DIFUSIÒN, INFORMACION Y PUBLICIDAD  (INFLUENCERS- agencia de publicidad )</t>
  </si>
  <si>
    <t>PROYECTO DE DIFUSIÓN -INFLUENCERS</t>
  </si>
  <si>
    <t xml:space="preserve">Crear contenido innovador promoviendo el egagement de los jóvenes </t>
  </si>
  <si>
    <t>PRODUCTOS INSTITUCIONALES</t>
  </si>
  <si>
    <t>MATERIALES DE IMPRESIÓN FOTOGRAFIA REPRODUCCIÒN Y PUBLICACIONES (SOUVENIRS, SHOPING BACKS)</t>
  </si>
  <si>
    <t>Promoveer una cultura institucional, prolija, ordenada y formal</t>
  </si>
  <si>
    <t>TOTAL PROGRAMA</t>
  </si>
  <si>
    <t>JUNTA CANTONAL DE PROTECCION DE DERECHOS</t>
  </si>
  <si>
    <t>RESPETO Y EQUIDAD</t>
  </si>
  <si>
    <t>PROTECCION INTEGRAL DE GRUPOS DE ATENCION PRIORITARIA</t>
  </si>
  <si>
    <t>OPERATIVIDAD DE LA UNIDAD</t>
  </si>
  <si>
    <t>DECIMOTERCER SUELDO</t>
  </si>
  <si>
    <t>DECIMOCUARTO SUELDO</t>
  </si>
  <si>
    <t>222.730404</t>
  </si>
  <si>
    <t>MAQUINARIAS Y EQUIPOS (Reparacion y mantenimiento)</t>
  </si>
  <si>
    <t>MATERIAL DIDACTICO</t>
  </si>
  <si>
    <t>DEFENSA Y RESCATE</t>
  </si>
  <si>
    <t>222.730201</t>
  </si>
  <si>
    <t>222.780102</t>
  </si>
  <si>
    <t>AL CONSEJO CANTONAL DE PROTECCION DE DERECHOS</t>
  </si>
  <si>
    <t>222.840103</t>
  </si>
  <si>
    <t>MOBILIARIOS</t>
  </si>
  <si>
    <t>222.840104</t>
  </si>
  <si>
    <t>MAQUINARIAS Y EQUIPOS</t>
  </si>
  <si>
    <t>TOTAL UNIDAD</t>
  </si>
  <si>
    <t>PLANIFICACION INSTITUCIONAL Y TERRITORIAL</t>
  </si>
  <si>
    <t>DIRECTOR DE PLANIFICACION</t>
  </si>
  <si>
    <t>Conservar y preservar los recursos naturales disponibles en el marco de la responsabilidad y sostenibilidad ambiental.</t>
  </si>
  <si>
    <t>Alcanzar al 2023 la creación, reglamentación y aplicación del 20% de la ordenanza de uso de suelo cantonal.</t>
  </si>
  <si>
    <t>PLANIFICACION INSTITUCIONAL</t>
  </si>
  <si>
    <t>Direccion estrategica</t>
  </si>
  <si>
    <t xml:space="preserve">GESTION OPERATIVA </t>
  </si>
  <si>
    <t xml:space="preserve">A FIN DE AñO SE HABRA IMPLEMENTADO 6 ORDENANZAS INSTITUCIONALES O REGLAMENTOS </t>
  </si>
  <si>
    <t>DECIMO TERCERO</t>
  </si>
  <si>
    <t>VACACIONES NO GOZADAS</t>
  </si>
  <si>
    <t>310.710601</t>
  </si>
  <si>
    <t>310.710602</t>
  </si>
  <si>
    <t>MATERIAL DE OFICINA</t>
  </si>
  <si>
    <t>Investigacion y conocimiento</t>
  </si>
  <si>
    <t>HONORARIOS POR SERVICIOS CIVILES</t>
  </si>
  <si>
    <t>CATASTROS CANTONALES</t>
  </si>
  <si>
    <t>Actualizacion catastral</t>
  </si>
  <si>
    <t>SE INCREMENTA LA BASE PREDIAL EXISTENTE EN 52 PREDIOS ANUALES</t>
  </si>
  <si>
    <t xml:space="preserve">SERVICIOS PERSONALES POR CONTRATO </t>
  </si>
  <si>
    <t>Equipamiento tecnologico</t>
  </si>
  <si>
    <t>SE HABRAN ACTUALIZADO 52 PREDIOS PRE EXISTENTES</t>
  </si>
  <si>
    <t>PAQUETES Y SISTEMAS INFORMATICOS</t>
  </si>
  <si>
    <t xml:space="preserve">REPUESTOS Y ACCESORIOS </t>
  </si>
  <si>
    <t>Actualizacion constante predial</t>
  </si>
  <si>
    <t>SERVICIOS DE CARTOGRAFIA</t>
  </si>
  <si>
    <t>HERRAMIENTAS MENORES</t>
  </si>
  <si>
    <t>MATERIALES DE CONSTRUCCION</t>
  </si>
  <si>
    <t xml:space="preserve">ESTUDIO DE PROYECTOS AÑOS ANTERIORES </t>
  </si>
  <si>
    <t>Titulacion predios urbanos</t>
  </si>
  <si>
    <t>Plan Comunicacional</t>
  </si>
  <si>
    <t>SE OTORGAN 26 NUEVOS TITULOS DE PROPIEDAD URBANOS</t>
  </si>
  <si>
    <t>EDICIÓN,IMPRESIÓN,REPRODUCCIÓN</t>
  </si>
  <si>
    <t>Levantamiento de informacion</t>
  </si>
  <si>
    <t>ALIMENTOS Y BEBIDAS</t>
  </si>
  <si>
    <t>PRENDASDEPROTECCIÓNYACCESORIOS</t>
  </si>
  <si>
    <t>Procesamiento</t>
  </si>
  <si>
    <t>Patrimonio material</t>
  </si>
  <si>
    <t>Concientizacion</t>
  </si>
  <si>
    <t>DIFUSION Y PROYECTOS</t>
  </si>
  <si>
    <t xml:space="preserve">SE HABRA GESTIONADO LA RESTAURACION ANUAL DE 2 INMUEBLES </t>
  </si>
  <si>
    <t>Ordenamiento territorial</t>
  </si>
  <si>
    <t>GESTION DEL TERRITORIO</t>
  </si>
  <si>
    <t>CONTROL URBANISTICO</t>
  </si>
  <si>
    <t>SE HAN EMITIDO 52 PERMISOS DE EDIFICACION, FRACCIONAMIENTOS O CERTIFICACIONES DE USO DE SUELO</t>
  </si>
  <si>
    <t>PRENDAS DE PROTECCIÓN Y ACCESORIOS</t>
  </si>
  <si>
    <t>REPARACION EQUIPOS TOPOGRAFIA</t>
  </si>
  <si>
    <t>MATERIALES DE CONSTRUCCION Y SEÑALIZACION</t>
  </si>
  <si>
    <t>Estudios y proyectos</t>
  </si>
  <si>
    <t>1 PLAN PARCIAL EJECUTADO</t>
  </si>
  <si>
    <t>INVESTIGACIONES PROFESIONALES Y ANÁLISIS DE LABORATORIO</t>
  </si>
  <si>
    <t>SERVICIO DE ALIMENTACIÓN</t>
  </si>
  <si>
    <t>CONSULTORÍA, ASESORÍA E INVESTIGACIÓN ESPECIALIZADA</t>
  </si>
  <si>
    <t>MOVILIDAD</t>
  </si>
  <si>
    <t>Gestion operativa</t>
  </si>
  <si>
    <t xml:space="preserve">Al final del año se habrá incrementado en un 2% la poblacion con mecanismos de movilidad, reduciendo la accidentabilidad en 0.5% </t>
  </si>
  <si>
    <t>TOTAL PROGRAMA PLANIFICACION</t>
  </si>
  <si>
    <t>GESTION DE RIESGOS</t>
  </si>
  <si>
    <t>Mitigar en un 5%los riesgos y desastres de origen natural o antrópico</t>
  </si>
  <si>
    <t>GESTION PREVENTIVA</t>
  </si>
  <si>
    <t>Analisis para Prevencion del riesgo</t>
  </si>
  <si>
    <t>Al 2023 el GAD municipal ha elaborado y aplicado 4 ordenanzas que permitan prevenir, gestionar y mitigar riesgos y desastres naturales o antrópicos.</t>
  </si>
  <si>
    <t>Educacion ciudadana y capacitacion</t>
  </si>
  <si>
    <t>730303</t>
  </si>
  <si>
    <t>Edición,Impresión,Reproducción</t>
  </si>
  <si>
    <t>GESTION CORRECTIVA</t>
  </si>
  <si>
    <t>Mitigacion en eventos suscitados</t>
  </si>
  <si>
    <t>710509</t>
  </si>
  <si>
    <t>HORAS EXTRAORDINARIAS Y SUPLEMENTARIAS</t>
  </si>
  <si>
    <t>730203</t>
  </si>
  <si>
    <t>ALMACENAMIENTO EMBALAJE ENVASE Y RECARGA DE EXTINTORES</t>
  </si>
  <si>
    <t>Materiales de construccion y señalizacion</t>
  </si>
  <si>
    <t>750107</t>
  </si>
  <si>
    <t>OBRAS DE INFRAESTRUCTURA PARA PREVENCION DE RIESGOS</t>
  </si>
  <si>
    <t>730821</t>
  </si>
  <si>
    <t>GASTOS PARA SITUACIONES DE EMERGENCIA</t>
  </si>
  <si>
    <t>Herramientas menores</t>
  </si>
  <si>
    <t>ALQUILER DE MAQUINARIA</t>
  </si>
  <si>
    <t>780102.901</t>
  </si>
  <si>
    <t xml:space="preserve">CONVENIO CON CUERPO DE BOMBEROS TNTE HUGO ORTIZ PARA FORTALECIMIENTO </t>
  </si>
  <si>
    <t>GRUPOS DE ATENCION PRIORITARIA</t>
  </si>
  <si>
    <t>ATENCION PRIMARIA</t>
  </si>
  <si>
    <t>220.710105</t>
  </si>
  <si>
    <t>220.710203</t>
  </si>
  <si>
    <t>220.710204</t>
  </si>
  <si>
    <t>220.710602</t>
  </si>
  <si>
    <t>220.710601</t>
  </si>
  <si>
    <t>220.710510</t>
  </si>
  <si>
    <t>220.710707</t>
  </si>
  <si>
    <t>AYUDA EMERGENTE</t>
  </si>
  <si>
    <t>220.730821</t>
  </si>
  <si>
    <t>AYUDAS TÉCNICAS POR SITUACIONES DE EMERGENCIA</t>
  </si>
  <si>
    <t xml:space="preserve">CONTRAPARTE MUNICIPAL EN CONVENIOS CON OTRAS ENTIDADES PUBLICAS Y PRIVADAS (ALIMENTOS Y BEBIDAS) </t>
  </si>
  <si>
    <t>EVENTOS, PASEOS Y ACTIVIDADES CULTURALES CON GRUPOS ATENCION PRIORITARIA</t>
  </si>
  <si>
    <t xml:space="preserve">ALIMENTOS Y BEBIDAS </t>
  </si>
  <si>
    <t>SERVICIOS DE ALIMENTACIÓN</t>
  </si>
  <si>
    <t>CONTRAPARTE MATERIAL DIDACTICO</t>
  </si>
  <si>
    <t>BENEFICENCIA MUNICIPAL</t>
  </si>
  <si>
    <t>221.730203.221</t>
  </si>
  <si>
    <t>RECARGA EXTINTORES CDIs</t>
  </si>
  <si>
    <t>221.730404.221</t>
  </si>
  <si>
    <t>MAQUINARIAS Y EQUIPOS CDIs (MANTENIMIENTO Y REPARACION)</t>
  </si>
  <si>
    <t>221.780108.01</t>
  </si>
  <si>
    <t>TRANSFERENCIAS POR LIQUIDACION CONVENIOS</t>
  </si>
  <si>
    <t>221.730807</t>
  </si>
  <si>
    <t>MATERIALES DE IMPRESION FOTOGRAFIA REPRODUCCION Y PUBLICACIONES</t>
  </si>
  <si>
    <t xml:space="preserve">AYUDAS TECNICAS </t>
  </si>
  <si>
    <t>COMEDOR MUNICIPAL</t>
  </si>
  <si>
    <t>221.730803.222</t>
  </si>
  <si>
    <t>COMBUSTIBLES GAS DE USO DOMESTICO</t>
  </si>
  <si>
    <t>SALARIOS UNIFICADOS</t>
  </si>
  <si>
    <t>221.71.03.04.00</t>
  </si>
  <si>
    <t>Compensación por Transporte</t>
  </si>
  <si>
    <t>221.710306.00</t>
  </si>
  <si>
    <t>Alimentación</t>
  </si>
  <si>
    <t>221.71.04.01.00</t>
  </si>
  <si>
    <t>Por Cargas Familiares</t>
  </si>
  <si>
    <t>221.71.04.02.00</t>
  </si>
  <si>
    <t xml:space="preserve">Por Educacion </t>
  </si>
  <si>
    <t>221.71.04.08.00</t>
  </si>
  <si>
    <t>Por Antiguedad</t>
  </si>
  <si>
    <t>221.730801</t>
  </si>
  <si>
    <t>ALIMENTOS Y BEBIDAS PROYECTO</t>
  </si>
  <si>
    <t>MENAJE DE COCINA</t>
  </si>
  <si>
    <t>221.730805</t>
  </si>
  <si>
    <t>FLETES Y MANIOBRAS</t>
  </si>
  <si>
    <t>ATENCION ESPECIALIZADA</t>
  </si>
  <si>
    <t>DISCAPACIDADES</t>
  </si>
  <si>
    <t>221.710510.223</t>
  </si>
  <si>
    <t>221.710601</t>
  </si>
  <si>
    <t>221.710602</t>
  </si>
  <si>
    <t>221.730205</t>
  </si>
  <si>
    <t>ESPECTACULOS CULTURALES Y SOCIALES DISCAPACIDADES</t>
  </si>
  <si>
    <t>221.730205.223</t>
  </si>
  <si>
    <t>EVENTOS CULTURALES Y SOCIALES 2021</t>
  </si>
  <si>
    <t>221.730301</t>
  </si>
  <si>
    <t xml:space="preserve">PASAJES AL INTERIOR </t>
  </si>
  <si>
    <t>221.730606</t>
  </si>
  <si>
    <t>HONORARIOS POR CONTRATOS CIVILES DE SERVICIO</t>
  </si>
  <si>
    <t>221.730802.03</t>
  </si>
  <si>
    <t>VESTUARIO, LENCERIA Y PRENDAS DE PROTECC PROYECTO DISCAPACIDADES</t>
  </si>
  <si>
    <t>221.730812.02</t>
  </si>
  <si>
    <t>MATERIALES DIDACTICOS Y LUDICOS PROYECTO DISCAPACIDADES</t>
  </si>
  <si>
    <t>AYUDAS TECNICAS PROYECTO DISCAPACIDADES</t>
  </si>
  <si>
    <t>221.840103</t>
  </si>
  <si>
    <t>MOBILIARIO</t>
  </si>
  <si>
    <t>221.840104</t>
  </si>
  <si>
    <t>MAQUINARIA Y EQUIPO</t>
  </si>
  <si>
    <t>221.730805.03</t>
  </si>
  <si>
    <t>CENTROS DE DESARROLLO INFANTIL</t>
  </si>
  <si>
    <t>221.710510.221</t>
  </si>
  <si>
    <t>221.710707</t>
  </si>
  <si>
    <t>221.730101</t>
  </si>
  <si>
    <t>AGUA POTABLE</t>
  </si>
  <si>
    <t>221.730104</t>
  </si>
  <si>
    <t>ENERGIA ELECTRICA</t>
  </si>
  <si>
    <t>221.730105</t>
  </si>
  <si>
    <t>TELECOMUNICACIONES</t>
  </si>
  <si>
    <t>221.730201</t>
  </si>
  <si>
    <t>221.730205.01</t>
  </si>
  <si>
    <t>EVENTOS CULTURALES Y SOCIALES CDI</t>
  </si>
  <si>
    <t>221.700205.221</t>
  </si>
  <si>
    <t>EVENTOS CULTURALES Y SOCIALES CDI 2021</t>
  </si>
  <si>
    <t>221.750501</t>
  </si>
  <si>
    <t xml:space="preserve">Mantenimiento y reparación de los CDIs en el Canton </t>
  </si>
  <si>
    <t>221.730802.01</t>
  </si>
  <si>
    <t xml:space="preserve">PRENDAS DE PROTECCION </t>
  </si>
  <si>
    <t>221.730235.221</t>
  </si>
  <si>
    <t>SERVICIOS DE ALIMENTACION</t>
  </si>
  <si>
    <t>221.730801.221</t>
  </si>
  <si>
    <t>MATERIALES DE OFICINA CDI</t>
  </si>
  <si>
    <t>221.730805.02</t>
  </si>
  <si>
    <t>MATERIALES DE ASEO  2021</t>
  </si>
  <si>
    <t>221.73085.06</t>
  </si>
  <si>
    <t>MATERIALES DE ASEO PROYECTO DESARROLLO INFANTIL CDI</t>
  </si>
  <si>
    <t>221.730809.</t>
  </si>
  <si>
    <t>MEDICINAS Y PRODUCTOS FARMAC PROYECTO DESARROLLO INFANTIL CDI</t>
  </si>
  <si>
    <t>221.730811</t>
  </si>
  <si>
    <t>INSUMOS, MATERIALES Y SUMINISTROS PARA CONSTRUCCION, ELECTRICIDAD …</t>
  </si>
  <si>
    <t>221.730812.01</t>
  </si>
  <si>
    <t>MATERIALES DIDACTICOS PROYECTO DE DESARROLLO INFANTIL CDI</t>
  </si>
  <si>
    <t>221.730820.</t>
  </si>
  <si>
    <t>Menaje de hogar</t>
  </si>
  <si>
    <t>VESTUARIO, LENCERIA Y PRENDAS DE PROTECC PROYECTO CDI</t>
  </si>
  <si>
    <t>ADULTOS MAYORES CON DISCAPACIDAD</t>
  </si>
  <si>
    <t>221.710510.224</t>
  </si>
  <si>
    <t>221.710204</t>
  </si>
  <si>
    <t>221.730802.02</t>
  </si>
  <si>
    <t>VESTUARIO, LENCERIA Y PRENDAS DE PROTECCIÓN PROYECTO AMCD</t>
  </si>
  <si>
    <t>221.730812.03</t>
  </si>
  <si>
    <t>MATERIALES DIDACTICOS PROYECTO AMCD</t>
  </si>
  <si>
    <t>MATERIALES DE OFICINA PROYECTO AMCD</t>
  </si>
  <si>
    <t>221.730805.04</t>
  </si>
  <si>
    <t>MATERIALES DE ASEO PROYECTO AMCD</t>
  </si>
  <si>
    <t>MEDICINAS Y PRODUCTOS FARMACEUTICOS</t>
  </si>
  <si>
    <t xml:space="preserve">INSTRUMENTAL MÉDICO MENOR </t>
  </si>
  <si>
    <t>ADULTOS MAYORES</t>
  </si>
  <si>
    <t>221.710510.225</t>
  </si>
  <si>
    <t>221.730202.225</t>
  </si>
  <si>
    <t>221.730803.225</t>
  </si>
  <si>
    <t>221.730803.226</t>
  </si>
  <si>
    <t>COMBUSTIBLES GAS DE USO DOMESTICO 2021</t>
  </si>
  <si>
    <t>221.730801.225</t>
  </si>
  <si>
    <t>ALIMENTOS Y BEBIDAS MIES</t>
  </si>
  <si>
    <t>ALIMENTOS Y BEBIDAS MIES-2021</t>
  </si>
  <si>
    <t>221.730820</t>
  </si>
  <si>
    <t>221.730812.04</t>
  </si>
  <si>
    <t>Material Didáctico aporte MIES</t>
  </si>
  <si>
    <t>Material Didáctico GADMLI</t>
  </si>
  <si>
    <t>ESPECTACULOS CULTURALES Y SOCIALES</t>
  </si>
  <si>
    <t>221.730205.225</t>
  </si>
  <si>
    <t>221.730805.05</t>
  </si>
  <si>
    <t xml:space="preserve">MATERIALES DE ASEO </t>
  </si>
  <si>
    <t>PRENDAS DE IDENTIFICACION usuarios del servicio</t>
  </si>
  <si>
    <t>PRENDAS DE IDENTIFICACION asistentes de cuidado</t>
  </si>
  <si>
    <t xml:space="preserve">MATERIALES DE CONSTRUCCION </t>
  </si>
  <si>
    <t>221.840104.225</t>
  </si>
  <si>
    <t>MAQUINARIA Y EQUIPO 2021</t>
  </si>
  <si>
    <t>221.840107.</t>
  </si>
  <si>
    <t>EQUIPOS, PAQUETES Y SISTEMAS INFORMATICOS 2021</t>
  </si>
  <si>
    <t>221.840103.02</t>
  </si>
  <si>
    <t>MOBILIARIO 2021</t>
  </si>
  <si>
    <t>TOTAL PROYECTOS</t>
  </si>
  <si>
    <t>AMBIENTE Y FOMENTO</t>
  </si>
  <si>
    <t xml:space="preserve">DIRECTORA </t>
  </si>
  <si>
    <t>PLAN DE CREACIÓN DE OPORTUNIDADES 2021 - 2025</t>
  </si>
  <si>
    <t>Directriz ETN</t>
  </si>
  <si>
    <t>Soporte territorial para la garantía de derechos; Gestión del territorio para la transición ecológica;</t>
  </si>
  <si>
    <t>Lineamientos territoriales</t>
  </si>
  <si>
    <t xml:space="preserve">Acceso equitativo a servicios y reducción de brechas territoriales; Actividad económica sostenible; Acciones para mitigar afectaciones al ambiente; </t>
  </si>
  <si>
    <t>Conservar y preservar los recursos naturales disponibles en el marco de la responsabilidad y sostenibilidad ambiental; Consolidar, fortalecer y diversificar las actividades económicas del cantón; en los sectores: agropecuario productivo, industrial y de turismo</t>
  </si>
  <si>
    <t>Alcanzar al 2023 la preservación del 20% de las fuentes abastecedoras de agua para el consumo humano;  Incrementar al 2023  la densidad de infraestructura destinada a la comercialización al 0.15m2/hab.</t>
  </si>
  <si>
    <t>323 - RECOLECCIÓN DE DESECHOS SÓLIDOS, LIMPIEZA Y MANTENIMIENTO DEL ORNATO</t>
  </si>
  <si>
    <t>SERVICIOS DE ORNATO Y PREVENCION AMBIENTAL</t>
  </si>
  <si>
    <t>RECURSO HUMANO PARA LA OPERATIVIDAD</t>
  </si>
  <si>
    <t>Ejecución presupuestaria del 85%</t>
  </si>
  <si>
    <t>COMPENSACION POR TRANSPORTE</t>
  </si>
  <si>
    <t>ALIMENTACION</t>
  </si>
  <si>
    <t>CARGAS FAMILIARES</t>
  </si>
  <si>
    <t>EDUACCION</t>
  </si>
  <si>
    <t>ANTIGUEDAD</t>
  </si>
  <si>
    <t>Adquisición de insumos y materiales para la reproducción de plantas ornamentales y forestales en el vivero municipal</t>
  </si>
  <si>
    <t>Al finalizar el año se han reproducido alrededor de 20 mil plantas</t>
  </si>
  <si>
    <t xml:space="preserve">Plantas </t>
  </si>
  <si>
    <t>Egresos para sanidad agropecuaria</t>
  </si>
  <si>
    <t>Herramientas y equipos menores</t>
  </si>
  <si>
    <t>fundas para vivero</t>
  </si>
  <si>
    <t>Mantenimiento y adecuaciones de parques, jardines y areas verdes del cantón</t>
  </si>
  <si>
    <t>Mantener las áreas verdes, parques y jardines al 90% de funcionalidad</t>
  </si>
  <si>
    <t>Vestuario, Lencería, Prendas de Protección y Accesorios para uniformes del personal de Protección, Vigilancia y
Seguridad.</t>
  </si>
  <si>
    <t xml:space="preserve">Egresos para sanidad agropecuaria
</t>
  </si>
  <si>
    <t>REFORMA AL PAC</t>
  </si>
  <si>
    <t>Combustible y lubricantes</t>
  </si>
  <si>
    <t>Materiales de construcción</t>
  </si>
  <si>
    <t xml:space="preserve">Barrido y limpieza de espacios públicos </t>
  </si>
  <si>
    <t>Mantener el servicio de barrido de espacios públicos al 95% de funcionalidad</t>
  </si>
  <si>
    <t>Materiales de aseo</t>
  </si>
  <si>
    <t>Recolección de desechos sólidos</t>
  </si>
  <si>
    <t>Mantener el servicio de recolección de residuos sólidos al 95% de funcionalidad</t>
  </si>
  <si>
    <t xml:space="preserve">Combustibles y lubricantes </t>
  </si>
  <si>
    <t>Materiales de construccion</t>
  </si>
  <si>
    <t>Visita técnica  al relleno Sanitario de la ciudad de Cuenca, Trabajadores del (Relleno Sanitario del GADML)</t>
  </si>
  <si>
    <t>SUBTOTAL PROYECTO 323</t>
  </si>
  <si>
    <t>324 - TRATAMIENTO Y DISPOSICIÓN FINAL DE DESECHOS SÓLIDOS</t>
  </si>
  <si>
    <t>Operación y mantenimiento del relleno sanitario, para la disposición final de desechos sólidos y tratamiento de lixiviados</t>
  </si>
  <si>
    <t>Mantener el relleno sanitario para la disposición final de residuos sólidos al 100% de funcionalidad y operatibilidad</t>
  </si>
  <si>
    <t>ESTUDIO PARA GESTION DE RESIDUOS SOLIDOS EN EL CANTON LIMON INDANZA (ARASTRE)</t>
  </si>
  <si>
    <t>324.730609.202</t>
  </si>
  <si>
    <t>Investigaciones profesionales y análisis de laboratorio</t>
  </si>
  <si>
    <t xml:space="preserve">Herramientas menores. </t>
  </si>
  <si>
    <t>324.730504.301</t>
  </si>
  <si>
    <t>Contratar maquinaria</t>
  </si>
  <si>
    <t xml:space="preserve">Materiales de aseo </t>
  </si>
  <si>
    <t xml:space="preserve">Combustibles </t>
  </si>
  <si>
    <t>PLANTA DE COMPOSTAJE</t>
  </si>
  <si>
    <t>Mantenerl el 100 % de funcionalidad y operatividad de la planta de compostaje para el procesamiento de residuos orgánicos</t>
  </si>
  <si>
    <t>Adquisición de herramientas y materiales</t>
  </si>
  <si>
    <t>Capacitación al personal sobre procesamiento de compost</t>
  </si>
  <si>
    <t>Mantenimiento de equipos</t>
  </si>
  <si>
    <t>Materieles de construcción</t>
  </si>
  <si>
    <t>SUBTOTAL PROYECTO 324</t>
  </si>
  <si>
    <t>325 - CONTROL SANITARIO</t>
  </si>
  <si>
    <t>CAMAL MUNICIPAL</t>
  </si>
  <si>
    <t>Operación y mantenimiento del camal municipal</t>
  </si>
  <si>
    <t>Mantenerl el Camal Municipal al 100% de operatividad y funcionalidad para beindar el servicio de faena de animales para el consumo humano</t>
  </si>
  <si>
    <t>REMUNERACIONES UNIFICADOS</t>
  </si>
  <si>
    <t>MAQUINARIAS Y EQUIPOS (INSTALACION MANTENIMIENTO Y REPARACIÓN)</t>
  </si>
  <si>
    <t>MAQUINARIAS Y EQUIPOS (DE LARGA DURACIÓN)</t>
  </si>
  <si>
    <t>VESTUARIO LENCERIA PRENDAS DE PROTECCÓN CARPAS Y OTROS</t>
  </si>
  <si>
    <t>COMBUSTIBLES Y LUBRICANTES</t>
  </si>
  <si>
    <t>MATERIALES DE CONSTRUCCIÓN</t>
  </si>
  <si>
    <t>HERRAMIENTAS Y EQUIPOS MENORES</t>
  </si>
  <si>
    <t>325.730609.203</t>
  </si>
  <si>
    <t xml:space="preserve">CONTRATACIÓN DE ESTUDIOS, INVESTIGACIONES Y SERVCIOS TECNICOS ESPECIALIZADOS
</t>
  </si>
  <si>
    <t xml:space="preserve">SERVICIOS DE ASEO, LAVADO DE VESTIMENTA DE TRABAJO, FUMIGACIÓN, DESINFECCIÓN, LIMPIEZA DE INSTALACIONES, MANEJO DE DESECHOS CONTAMINADOS, RECUPERACIÓN Y CLASIFICACIÓN DE MATERIALES RECICLABLES   
</t>
  </si>
  <si>
    <t>CENTRO DE RESCATE ANIMAL</t>
  </si>
  <si>
    <t>Realizar el recate de animales abandonados, realizar campañas para reducir la repoblación de animales callejeros</t>
  </si>
  <si>
    <t>Cada mes se realiza un recorrido para el rescate de animales de compañía que hayan sido abandonados y la esterilización de 100 animales</t>
  </si>
  <si>
    <t>INSTRUMENTAL MÉDICO QUIRÚRGICO</t>
  </si>
  <si>
    <t>ALIMENTOS MEDICINAS PRODUCTOS FARMACEUTICOS Y DE ASEO Y ACCESORIOS PARA ANIMALES</t>
  </si>
  <si>
    <t>SUBTOTAL PROYECTO 325</t>
  </si>
  <si>
    <t>330 - GESTIÓN AMBIENTAL Y AECMTRG</t>
  </si>
  <si>
    <t>MONITOREO Y CALIDAD AMBIENTAL</t>
  </si>
  <si>
    <t>Operatividad de la unidad</t>
  </si>
  <si>
    <t>DECIMOTERCER SUELDO - 2022</t>
  </si>
  <si>
    <t>DECIMOCUARTO SUELDO - 2022</t>
  </si>
  <si>
    <t>APORTE PATRONAL - 2022</t>
  </si>
  <si>
    <t>FONDO DE RESERVA - 2022</t>
  </si>
  <si>
    <t>Materiales de oficina</t>
  </si>
  <si>
    <t>Análisis de aguas fuentes hídricas</t>
  </si>
  <si>
    <t>4 muestras aguas</t>
  </si>
  <si>
    <t>Invetigaciones profesionales y análisis de laboratorio</t>
  </si>
  <si>
    <t>Obtención Permisos ambientales, de acuerdo a las necesidades y proyectos del GADMLI, Monitoreo y seguimiento de cumplimiento de permisos ambientales, de los proyectos que se ejecuten conforme normativa</t>
  </si>
  <si>
    <t>5 permisos ambientales e informes de seguimiento</t>
  </si>
  <si>
    <t>Tasas generales impuestos contribuciones permisos licencias y patentes</t>
  </si>
  <si>
    <t>Adquisicón de equipos</t>
  </si>
  <si>
    <t>1 biodigestor instalado</t>
  </si>
  <si>
    <t>Recuperación y mantenimiento de Cuencas hidrográficas</t>
  </si>
  <si>
    <t>EDUCACIÓN AMBIENTAL (ARRASTRE 2021)</t>
  </si>
  <si>
    <t>Ejecución de una campaña de reciclaje y adquisición de puntos de reciclaje</t>
  </si>
  <si>
    <t>Haste el mes de marzo de 2022 se ha realizado una campaña de reciclaje y se han adquirido 12 puntos de reciclaje</t>
  </si>
  <si>
    <t>CAMPANA DE DIFUSION, CONCIENTIZACION Y EDUCACION AMBIENTAL PARA INCENTIVAR Y FOMENTAR EL RECICLAJE (ARRASTRE)</t>
  </si>
  <si>
    <t>330.840103.001</t>
  </si>
  <si>
    <t>Puntos verdes (2021)</t>
  </si>
  <si>
    <t>IMPLEMENTACIÓN DEL PLAN DE MANEJO Y ADMINSITRACIÓN DEL AECMTRG</t>
  </si>
  <si>
    <t>ADMINISTRACION DEL AECMTRG</t>
  </si>
  <si>
    <t>SERVICIOS OCASIONALES POR CONTRATO</t>
  </si>
  <si>
    <t xml:space="preserve">DESARROLLO DE ACTIVIDADES DE CONTROL Y VIGILANCIA DENTRO DEL AECMTRG </t>
  </si>
  <si>
    <t>SALARIOS UNIFICADOS - 2022</t>
  </si>
  <si>
    <t>COMPENSACION POR TRANSPORTE - 2022</t>
  </si>
  <si>
    <t>ALIMENTACION - 2022</t>
  </si>
  <si>
    <t>POR CARGAS FAMILIARES - 2022</t>
  </si>
  <si>
    <t>DE EDUCACION - 2022</t>
  </si>
  <si>
    <t>Al finalizar el año se cuenta con los insumos, materiales y equipos necesarios para realizar las actividades de control y vigilacia dentro del AECMTRG, se evidencia en informes trimestrales.</t>
  </si>
  <si>
    <t>Vehiculos</t>
  </si>
  <si>
    <t xml:space="preserve">Vestuario, Lencería, Prendas de Protección y Accesorios para uniformes del personal de Protección, Vigilancia y
Seguridad.
</t>
  </si>
  <si>
    <t>Maquinaria y equipos</t>
  </si>
  <si>
    <t>Alimentos y bebidas</t>
  </si>
  <si>
    <t>Insumos, Materiales, Suministros y Bienes para Investigación</t>
  </si>
  <si>
    <t>Edición impresiones publicaciones</t>
  </si>
  <si>
    <t>DESARROLLO DE ACTIVIDADES DE COMUNICACIÓN Y SENSIBILIZACION   AMBIENTAL SOBRE LA IMPORTANCIA DEL AECMTRG</t>
  </si>
  <si>
    <t>Socialización  bienes y servicios ambientales del AECMTRG con instituciones y/o empresas públicas y privadas</t>
  </si>
  <si>
    <t>Muestras de productos para ferias</t>
  </si>
  <si>
    <t>Transporte de personal</t>
  </si>
  <si>
    <t>Servicios de alimentación</t>
  </si>
  <si>
    <t>DESARROLLO DE ACTIVIDADES PARA EL USO PUBLICO Y TURISTICO DEL AECMTRG</t>
  </si>
  <si>
    <t>Realizar un mantenimiento del centro de operaciones y sendero del AECMTRG, e identificación de especies</t>
  </si>
  <si>
    <t>Construcción de sendero ecológico</t>
  </si>
  <si>
    <t>Insumos, Materiales y Suministros para Construcción, Electricidad, Plomería, Carpintería, Señalización Vial, Navegación, Contra Incendios y Placas</t>
  </si>
  <si>
    <t xml:space="preserve">MAQUINARIAS Y EQUIPOS </t>
  </si>
  <si>
    <t>SUBTOTAL PROYECTO 330</t>
  </si>
  <si>
    <t>350 - FOMENTO PRODUCTIVO</t>
  </si>
  <si>
    <t>Fortalicimiento del sector agroporductivo del cantón</t>
  </si>
  <si>
    <t>DIRECCION OPERATIVA</t>
  </si>
  <si>
    <t>SERVICIOS OCASIONALES</t>
  </si>
  <si>
    <t xml:space="preserve">TRANSPORTE PERSONAL </t>
  </si>
  <si>
    <t>SUBROGACIÓN</t>
  </si>
  <si>
    <t>CAPACITACION A SERVIDORES PÚBLICOS</t>
  </si>
  <si>
    <t>Fortalecimiento del sector agroproductivo a través de capacitaciones a emprendedores sobre manejo y comercialziación de la producción, y con el desarrollo de ferias del emprendimiento</t>
  </si>
  <si>
    <t>Al finalizar el año se han realizado dos ferias del emprendimiento</t>
  </si>
  <si>
    <t>Capacitación para la ciudadanía en General</t>
  </si>
  <si>
    <t>Espectáculos culturales y sociales</t>
  </si>
  <si>
    <t>Fomento del sector agroprodcutivo mediante el desarrollo de proyectos comunitarios</t>
  </si>
  <si>
    <t>Apoyar a proyectos comunitarios que se generen desde el sector agroproductivo</t>
  </si>
  <si>
    <t>SUMINISTROS ACTIVIDADES PECUARIAS, PESCA Y CAZA</t>
  </si>
  <si>
    <t>GRANJA MUNICIPAL</t>
  </si>
  <si>
    <t>OPERATIVIDAD</t>
  </si>
  <si>
    <t>Reactivación económica y garantizar la soberanía alimentaria medianete la reproducción de cobayos y de tilapia roja, producción, reversión y levantamiento de alevines</t>
  </si>
  <si>
    <t>Reproducción de 300 gazapos</t>
  </si>
  <si>
    <t>EGRESOS PARA SANIDAD AGROPECUARIA</t>
  </si>
  <si>
    <t>Reproducción y levantamiento de 200 mil alevines de tilapia</t>
  </si>
  <si>
    <t>SUMINISTROS PARA ACTIVIDADES AGROPECUARIAS, PESCA Y CAZA</t>
  </si>
  <si>
    <t>Banco de semilla de cultivos promisorios de Limón Indanza</t>
  </si>
  <si>
    <t>200 plantas promisorias sembradas y mantenidas</t>
  </si>
  <si>
    <t>BIOTECNOLOGIA PECUARIA</t>
  </si>
  <si>
    <t>RECURSO HUMANO</t>
  </si>
  <si>
    <t xml:space="preserve">Al finalizar el año se han realizado 100 inseminaciones de bovinas y 5 trnsferencias de embriones </t>
  </si>
  <si>
    <t>Fortalecimeinto del sector ganadero mediante el mejoramiento genético bovino</t>
  </si>
  <si>
    <t>INSTRUMENTAL MEDICO QUIRURGICO</t>
  </si>
  <si>
    <t>MAQUINARIA Y EQUIPOS</t>
  </si>
  <si>
    <t>Al finalizar el año se ha realizado una capacitación en cada parroquia rural</t>
  </si>
  <si>
    <t>Implementación de un banco forrajero para mejoramiento de pastos del sector ganadero del cantón</t>
  </si>
  <si>
    <t>Al finalizar el año se han sembrado 8 parcelas de bancos forrajeros, en la granaja municipal</t>
  </si>
  <si>
    <t>FORTALECIMIENTO DEL SECTOR PRODUCTIVO</t>
  </si>
  <si>
    <t>SUBTOTAL PROYECTO 350</t>
  </si>
  <si>
    <t>OBRAS PUBLICAS</t>
  </si>
  <si>
    <t>DIRECTOR DE OBRAS PUBLICAS</t>
  </si>
  <si>
    <t>Codificacion</t>
  </si>
  <si>
    <t>UNIDAD EJECUTORA</t>
  </si>
  <si>
    <t>DIRECCION ESTRATEGICA</t>
  </si>
  <si>
    <t>GERENCIA PARA LA OPERATIVUIDAD</t>
  </si>
  <si>
    <t>COMPRA DE RENUNCIAS</t>
  </si>
  <si>
    <t>COMPENSACION POR DESAHUCIO</t>
  </si>
  <si>
    <t>INDEMNIZACIONES LABORALES</t>
  </si>
  <si>
    <t xml:space="preserve">REMUNERACIONES UNIFICADAS </t>
  </si>
  <si>
    <t xml:space="preserve">SALARIOS UNIFICADOS </t>
  </si>
  <si>
    <t>SALARIOS UNIFICADOS - AñOS ANTERIORES CONTRATO COLECTIVO</t>
  </si>
  <si>
    <t xml:space="preserve">DECIMOTERCER SUELDO </t>
  </si>
  <si>
    <t>DECIMOTERCER SUELDO - AñOS ANTERIORES CONTRATO COLECTIVO</t>
  </si>
  <si>
    <t xml:space="preserve">DECIMOCUARTO SUELDO </t>
  </si>
  <si>
    <t xml:space="preserve">APORTE PATRONAL </t>
  </si>
  <si>
    <t>APORTE PATRONAL AñOS ANTERIORES CONTRATO COLECTIVO</t>
  </si>
  <si>
    <t xml:space="preserve">FONDO DE RESERVA </t>
  </si>
  <si>
    <t>FONDO DE RESERVA AñOS ANTERIORES CONTRATO COLECTIVO</t>
  </si>
  <si>
    <t>BENEFICIO POR JUBILACION</t>
  </si>
  <si>
    <t>EQUIPAMIENTO Y FORMACION</t>
  </si>
  <si>
    <t>Fiscalización de obras</t>
  </si>
  <si>
    <t>Pasajes para movilización del personal de DOSP en el interior</t>
  </si>
  <si>
    <t>Para mantenimiento vial del Cantón</t>
  </si>
  <si>
    <t>Víaticos y subsistencias pagadas al personal de la DOSP en el interior</t>
  </si>
  <si>
    <t xml:space="preserve">CAPACITACION A SERVIDORES PUBLICOS </t>
  </si>
  <si>
    <t>mínimo 2 funcionarios capacitados</t>
  </si>
  <si>
    <t>Capacitación a Servidores Públicos de la DOSP</t>
  </si>
  <si>
    <t>360.730802.001</t>
  </si>
  <si>
    <t xml:space="preserve">VESTUARIO, LENCERIA Y PRENDAS DE PROTECCION EMPLEADOS </t>
  </si>
  <si>
    <t>100% de funcionarios DOSP</t>
  </si>
  <si>
    <t>Proporcionar a los empleados de la DOSP de vestuario, lencería y prendas de protección en el trabajo.</t>
  </si>
  <si>
    <t xml:space="preserve">MOVILIZACIONES </t>
  </si>
  <si>
    <t xml:space="preserve">TRANSPORTE DE PERSONAL </t>
  </si>
  <si>
    <t>transporte de personal durante el año</t>
  </si>
  <si>
    <t>Transporte de personal de Obras y Servicios Públicos mediante alquiler de camionetas</t>
  </si>
  <si>
    <t>TRANSPORTE DE PERSONAL - 2021</t>
  </si>
  <si>
    <t xml:space="preserve">FLETES Y MANIOBRAS </t>
  </si>
  <si>
    <t>Transpote de maquinaria</t>
  </si>
  <si>
    <t>Alquiler de Plataformas o Cama bajas para transporte de maquinaria</t>
  </si>
  <si>
    <t xml:space="preserve">SERVICIO DE RASTREO SATELITAL </t>
  </si>
  <si>
    <t>total del parque automotor del GAD</t>
  </si>
  <si>
    <t>Adquisición o renovación del Servicio de Rastreo Satelital de vehículos y maquinaria</t>
  </si>
  <si>
    <t>SERVICIOS PARA LA OPERATIVIDAD</t>
  </si>
  <si>
    <t xml:space="preserve">ENERGIA ELECTRICA </t>
  </si>
  <si>
    <t>360.730235.601</t>
  </si>
  <si>
    <t xml:space="preserve">SERVICIOS DE ALIMENTACIÓN POR EMERGENCIA CANTONAL </t>
  </si>
  <si>
    <t>en caso de emergencia</t>
  </si>
  <si>
    <t>Alimentación del personal de la DOSP en situciones de emergencia</t>
  </si>
  <si>
    <t xml:space="preserve">EDIFICIOS LOCALES RESIDENCIA Y CABLEADO ESTRUCTURADO (MANTENIMIENTO REPARACION E INSTALACION) </t>
  </si>
  <si>
    <t>Edificios municipales</t>
  </si>
  <si>
    <t>Arreglo y mantenimiento de instalacones eléctricas en edificios municipales</t>
  </si>
  <si>
    <t>Adquisiciones</t>
  </si>
  <si>
    <t>ADQUISISCIÓN DE MATERIALES DE OFICINA</t>
  </si>
  <si>
    <t>Mantenimientos generales</t>
  </si>
  <si>
    <t>ADQUISISCIÓN DE MATERIALES DE ASEO</t>
  </si>
  <si>
    <t>BIENES DE CAPITAL</t>
  </si>
  <si>
    <t xml:space="preserve"> MOBILIARIOS (DE LARGA DURACION)</t>
  </si>
  <si>
    <t>2 muebles para archivadores</t>
  </si>
  <si>
    <t>Mobiliario para archivadores de la secretaría de DOSP</t>
  </si>
  <si>
    <t xml:space="preserve"> EQUIPOS SISTEMAS Y PAQUETES INFORMATICOS</t>
  </si>
  <si>
    <t>1 computador</t>
  </si>
  <si>
    <t>Adquisición de computador para asistente adimunistrativa</t>
  </si>
  <si>
    <t>ARRASTRES</t>
  </si>
  <si>
    <t>360.750199.602</t>
  </si>
  <si>
    <t>VARIOS CONTRATOS AL 2014 CON ANTICIPOS NO DEVENGADOS</t>
  </si>
  <si>
    <t>SUBTOTAL DIRECCION</t>
  </si>
  <si>
    <t>ESTUDIOS Y FISCALIZACION</t>
  </si>
  <si>
    <t xml:space="preserve">SERVICIOS TECNICOS ESPECIALIZADOS </t>
  </si>
  <si>
    <t>Movilización de técnicos de la DOSP y traslado de pruebas producto de la fiscalización de obras.</t>
  </si>
  <si>
    <t xml:space="preserve">FISCALIZACION E INSPECCIONES TECNICAS </t>
  </si>
  <si>
    <t>VARIOS ESTUDIOS ANTERIORES 2014 CON ANTICIPOS NO DEVENGADOS</t>
  </si>
  <si>
    <t xml:space="preserve">HONORARIOS POR CONTRATOS CIVILES DE SERVICIOS </t>
  </si>
  <si>
    <t>Contratación de personal técnico como soporte en las áreas de ingeniería de la DOSP</t>
  </si>
  <si>
    <t>360.730605.001</t>
  </si>
  <si>
    <t>ESTUDIOS GEOLOGICOS Y DE SUELOS PARA PROYECTOS</t>
  </si>
  <si>
    <t>Vcpntratación de consultorías para la realización de estudios geológicos y de suelos para obras de infrestructura</t>
  </si>
  <si>
    <t>360.730803.601</t>
  </si>
  <si>
    <t>COMBUSTIBLES VEHICULOS</t>
  </si>
  <si>
    <t>Matener operativos los vehículos de la DOSP, para servicios de las actividades del departamento</t>
  </si>
  <si>
    <t>INDEMNIZACIONES</t>
  </si>
  <si>
    <t xml:space="preserve"> TERRENOS (EXPROPIACION)</t>
  </si>
  <si>
    <t>SUBTOTAL ESTUDIOS</t>
  </si>
  <si>
    <t>COMUNICACIONES Y TRANSPORTE</t>
  </si>
  <si>
    <t>MANTENIMIENTO DE SISTEMAS EXISTENTES</t>
  </si>
  <si>
    <t>PERSONAL OPERATIVO</t>
  </si>
  <si>
    <t>3.5 km de veredas</t>
  </si>
  <si>
    <t xml:space="preserve">SERVICIOS PERSONALES EVENTUALES SIN RELACION DE DEPENDENCIA </t>
  </si>
  <si>
    <t xml:space="preserve">ALIMENTACION </t>
  </si>
  <si>
    <t xml:space="preserve">POR CARGAS FAMILIARES </t>
  </si>
  <si>
    <t>DE EDUCACION</t>
  </si>
  <si>
    <t xml:space="preserve">SUBSIDIO DE ANTIGUEDAD </t>
  </si>
  <si>
    <t>EQUIPO CAMINERO</t>
  </si>
  <si>
    <t>MAQUINARIAS Y EQUIPOS (INSTALACION MANTENIMIENTO Y REPARACION</t>
  </si>
  <si>
    <t>360.730405.000</t>
  </si>
  <si>
    <t>VEHICULOS TERRESTRES (MANTENIMIENTO Y REPARACION)</t>
  </si>
  <si>
    <t>360.730405.601</t>
  </si>
  <si>
    <t xml:space="preserve"> SERVICIO DE REENCAUCHE DE NEUMATICOS </t>
  </si>
  <si>
    <t>360.730803.602</t>
  </si>
  <si>
    <t xml:space="preserve">COMBUSTIBLES MAQUINARIAS Y EQUIPOS </t>
  </si>
  <si>
    <t>Matener operativa la maquinaria, para servicios de las actividades del departemento</t>
  </si>
  <si>
    <t>360.730803.603</t>
  </si>
  <si>
    <t>LUBRICANTES Y ADITIVOS VEHICULOS</t>
  </si>
  <si>
    <t>360.730803.604</t>
  </si>
  <si>
    <t>LUBRICANTES Y ADITIVOS MAQUINARIA Y EQUIPOS</t>
  </si>
  <si>
    <t>Matener operativas las maquinarias de la DOSP, para servicios de las actividades del departamento</t>
  </si>
  <si>
    <t>360.730813.601</t>
  </si>
  <si>
    <t xml:space="preserve"> NEUMATICOS PARA VEHICULOS LIVIANOS</t>
  </si>
  <si>
    <t>Matener operativos los vehículos de la DOSP, para servicios de las actividades del departamento. Sub actividad</t>
  </si>
  <si>
    <t>360.730813.602</t>
  </si>
  <si>
    <t>NEUMATICOS PARA VEHICULOS PESADOS Y MAQUINARIA</t>
  </si>
  <si>
    <t>Matener operativos la maquinaria de la DOSP, para servicios de las actividades del departamento. Sub actividad</t>
  </si>
  <si>
    <t>360.730813.603</t>
  </si>
  <si>
    <t xml:space="preserve"> REPUESTOS Y ACCESORIOS PARA VEHÍCULOS TERRESTRES</t>
  </si>
  <si>
    <t>360.730813.604</t>
  </si>
  <si>
    <t>REPUESTOS Y ACCESORIOS PARA  MAQUINARIA Y EQUIPOS</t>
  </si>
  <si>
    <t>Mantenimeitno de varios sectores del cantón con personal de DOSP</t>
  </si>
  <si>
    <t>SEGUROS</t>
  </si>
  <si>
    <t>SEGUROS - 2022</t>
  </si>
  <si>
    <t xml:space="preserve">BIENES Y SERVICIOS </t>
  </si>
  <si>
    <t>360.730821.601</t>
  </si>
  <si>
    <t>GASTOS POR EMERGENCIA CANTONAL</t>
  </si>
  <si>
    <t xml:space="preserve">Realizar intervenciones con maquinaria y personal en situaciones de emergencia </t>
  </si>
  <si>
    <t>HERRAMIENTAS, PALAS PICOS BARRETAS, ETC., Y HERRAMIENTAS PARA MECÁNICA.</t>
  </si>
  <si>
    <t>360.730253.01</t>
  </si>
  <si>
    <t>SERVICIOS DE ARRENDAMIENTO DE TERRENOS- 2021</t>
  </si>
  <si>
    <t>360.730811.005</t>
  </si>
  <si>
    <t>ALCANTARILLAS EMPERNABLES PARA MANTENIMIENTO RED VIAL VARIAS COMUNIDADES</t>
  </si>
  <si>
    <t>Suministro para luego colocación de alcantarillas metálicas para pasos de agua</t>
  </si>
  <si>
    <t>360.730504.601</t>
  </si>
  <si>
    <t xml:space="preserve">ALQUILER DE MAQUINARIA PARA VARIAS OBRAS EN EL CANTON </t>
  </si>
  <si>
    <t>Alquiler de equipo caminero para mantenimientos de vías, encauce de ríos, enrocados, etc.</t>
  </si>
  <si>
    <t>360.730811.601</t>
  </si>
  <si>
    <t xml:space="preserve">MATERIALES Y SUMINISTROS PARA EJECUCIÓN DE PLAN VEREDAS EN EL CANTON </t>
  </si>
  <si>
    <t>Construcción de Veredas en barrios urbanos de Gral. Leonidas Plaza.</t>
  </si>
  <si>
    <t xml:space="preserve"> MAQUINARIAS Y EQUIPOS (NO DEPRECIABLES) </t>
  </si>
  <si>
    <t>Mantenimiento de distintas áreas públicas del Cantón</t>
  </si>
  <si>
    <t xml:space="preserve">EQUIPOS SISTEMAS Y PAQUETES INFORMATICOS </t>
  </si>
  <si>
    <t>Mantenimiento y actualización de sistemas ifirmáticos de la DOSP</t>
  </si>
  <si>
    <t xml:space="preserve"> MAQUINARIAS Y EQUIPOS (DE LARGA DURACION)</t>
  </si>
  <si>
    <t>360.840104.001</t>
  </si>
  <si>
    <t>MAQUINARIAS Y EQUIPOS DE LARGA DURACION- EQUIPO CAMINERO</t>
  </si>
  <si>
    <t>360.840105.02</t>
  </si>
  <si>
    <t>VEHICULOS- VOLQUETES</t>
  </si>
  <si>
    <t>Adquisición de DRAGUILLA (MOTOBOMBA), ROTOMARTILLO, AMOLADORA, VIBRADOR + 1200 Mecánica, hidrolavadora, compresor</t>
  </si>
  <si>
    <t>CONTRATACION EXTERNA</t>
  </si>
  <si>
    <t>360.750501.612</t>
  </si>
  <si>
    <t>CONSTRUCCION Y REPARACION DE CAMINOS ECOLOGICOS</t>
  </si>
  <si>
    <t>Mantenimiento de caminos vecinales y de herradura en el Cantón</t>
  </si>
  <si>
    <t>CONSTRUCCION Y REPARACION DE CAMINOS ECOLOGICOS AÑOS ANT</t>
  </si>
  <si>
    <t>SUBTOTAL MANTENIMIENTOS</t>
  </si>
  <si>
    <t>CONSTRUCCIONES NUEVAS</t>
  </si>
  <si>
    <t>360.750105.01</t>
  </si>
  <si>
    <t xml:space="preserve"> VIALIDAD DEL CANTON LIMON INDANZA</t>
  </si>
  <si>
    <t>Apertura afirmado y  lastrado de las calles de Maikiuants.</t>
  </si>
  <si>
    <t>OBRAS 2021, Y REAJUSTE DE PRECIOS</t>
  </si>
  <si>
    <t>360.750104.622</t>
  </si>
  <si>
    <t xml:space="preserve"> CONSTRUCCION DE PUENTES EN EL CANTON LIMON INDANZA</t>
  </si>
  <si>
    <t>Construcción del puente peatonal en el sector del Progreso</t>
  </si>
  <si>
    <t>SUBTOTAL NUEVAS OBRAS</t>
  </si>
  <si>
    <t>INFRAESTRUCTURA COMUNAL</t>
  </si>
  <si>
    <t>MANTENIMIENTO DE OBRAS EXISTENTES</t>
  </si>
  <si>
    <t>360.710510</t>
  </si>
  <si>
    <t>360.710106</t>
  </si>
  <si>
    <t>360.710203</t>
  </si>
  <si>
    <t>360.710204</t>
  </si>
  <si>
    <t>360.710601</t>
  </si>
  <si>
    <t>360.710602</t>
  </si>
  <si>
    <t>Funcionamiento durante el año</t>
  </si>
  <si>
    <t>360.730417.604</t>
  </si>
  <si>
    <t>ADECUACIONES DE VARIAS DEPENDENCIAS MUNICIPALES</t>
  </si>
  <si>
    <t>360.730805</t>
  </si>
  <si>
    <t>360.730811.</t>
  </si>
  <si>
    <t>MATERIALES DE CONSTRUCCION 2021</t>
  </si>
  <si>
    <t>Cabeceras parroquiales y cantonal</t>
  </si>
  <si>
    <t>360.730811.602</t>
  </si>
  <si>
    <t>INSUMOS Y MATERIALES PARA ADECENTAMIENTO DE LUGARES PUBLICOS</t>
  </si>
  <si>
    <t>360.750101</t>
  </si>
  <si>
    <t>MANTENIMIENTO CEMENTERIO MUNICIPAL</t>
  </si>
  <si>
    <t>3 canchas arregladas</t>
  </si>
  <si>
    <t>360.750501.615</t>
  </si>
  <si>
    <t xml:space="preserve">ADECUACION, MANTENIMIENTO, REPARACION CANCHAS Y ESPACIOS CUBIERTOS </t>
  </si>
  <si>
    <t>MERCADOS 326</t>
  </si>
  <si>
    <t>326.710106</t>
  </si>
  <si>
    <t>326.710203</t>
  </si>
  <si>
    <t>326.710204</t>
  </si>
  <si>
    <t>326.710601</t>
  </si>
  <si>
    <t>3626.710602</t>
  </si>
  <si>
    <t>326.710304</t>
  </si>
  <si>
    <t>326.710306</t>
  </si>
  <si>
    <t>326.710401</t>
  </si>
  <si>
    <t>326.710402</t>
  </si>
  <si>
    <t xml:space="preserve">DE EDUCACION </t>
  </si>
  <si>
    <t>326.710408</t>
  </si>
  <si>
    <t>SUBSIDIO DE ANTIGUEDAD</t>
  </si>
  <si>
    <t>CONSTRUCCION E IMPLEMENTACIONES</t>
  </si>
  <si>
    <t>Cosntrucción de parques</t>
  </si>
  <si>
    <t>360.750104.646</t>
  </si>
  <si>
    <t>OBRAS DE REGENERACION EN AREAS DE EXPANSIÓN URBANA</t>
  </si>
  <si>
    <t>360.750107.04</t>
  </si>
  <si>
    <t>CONSTRUCCION DEL MERCADO NORTE DE GRAL.PLAZA</t>
  </si>
  <si>
    <t>MEJORAMIENTO DE AREAS DE EXPANSION URBANA PARA LAS COMUNIDADES PLAN DE MILAGRO Y VALLE DEL CASTILLO (ARRASTRE)</t>
  </si>
  <si>
    <t>Contrucción de 2 espacios cubiertos</t>
  </si>
  <si>
    <t>360.750107.02</t>
  </si>
  <si>
    <t>CONSTRUCCION DE CANCHAS Y/O CUBIERTAS PARA MULTICANCHAS EN EL CANTON</t>
  </si>
  <si>
    <t>360.750107.602</t>
  </si>
  <si>
    <t>CONSTRUCCION DE CUBIERTAS PARA MULTICANCHAS</t>
  </si>
  <si>
    <t>360.750107.700</t>
  </si>
  <si>
    <t>CONSTRUCCION DE CANCHAS Y/O CUBIERTAS PARA MULTICANCHAS EN EL CANTON 2021</t>
  </si>
  <si>
    <t>360.750104</t>
  </si>
  <si>
    <t>OBRAS DE URBANIZACION Y EMBELLECIMIENTO</t>
  </si>
  <si>
    <t>3 obras comunales</t>
  </si>
  <si>
    <t>360.750501.604</t>
  </si>
  <si>
    <t>OBRAS COMUNALES</t>
  </si>
  <si>
    <t>Mecanica, archivo y edificios municipales</t>
  </si>
  <si>
    <t>360.750107.607</t>
  </si>
  <si>
    <t>CONSTRUCCION DE EDIFICACIONES URBANAS</t>
  </si>
  <si>
    <t>Adecuaciones de espacioe en la mecánica Municipal</t>
  </si>
  <si>
    <t>Trámites</t>
  </si>
  <si>
    <t>360.770102.000</t>
  </si>
  <si>
    <t xml:space="preserve"> TASAS GENERALES, IMPUESTOS, CONTRIB, PERMISOS, LICENCIAS Y PATENTES - 2022</t>
  </si>
  <si>
    <t>360.750107.627</t>
  </si>
  <si>
    <t>CONSTRUCCION DE EDIFICACIONES COMUNITARIAS RURALES</t>
  </si>
  <si>
    <t>SUBTOTAL NUEVAS INFRAESTRUCTURAS</t>
  </si>
  <si>
    <t>MERCADOS (326)</t>
  </si>
  <si>
    <t>COMISARIA MUNICIPAL</t>
  </si>
  <si>
    <t>Incentivar una sociedad participativa, con un Estado cercano al servicio de la ciudadanía.</t>
  </si>
  <si>
    <t>Consolidar una gestión estatal eficiente y democrática, que impulse las capacidades ciudadanas e integre las acciones sociales en la administración pública.</t>
  </si>
  <si>
    <t>Fomentar espacios para la construcción de una participación social activa, integrando las visiones de equidad territorial y justicia social.</t>
  </si>
  <si>
    <t>Alcanzar al 2023 el 100% de cumplimiento de la ordenanza que regula la participación ciudadana del GAD Municipal de Limón Indanza.</t>
  </si>
  <si>
    <t>VIGILANCIA Y SEGURIDAD CIUDADANA</t>
  </si>
  <si>
    <t>ADMINISTRACION DE LA UNIDAD</t>
  </si>
  <si>
    <t>RECURSOS HUMANOS PARA LA OPERATIVIDAD</t>
  </si>
  <si>
    <t>Salarios unificados</t>
  </si>
  <si>
    <t>Alimentacion</t>
  </si>
  <si>
    <t>Por cargas familiares</t>
  </si>
  <si>
    <t>Educacion</t>
  </si>
  <si>
    <t>Antiguedad</t>
  </si>
  <si>
    <t>CONTROL CIUDADANO</t>
  </si>
  <si>
    <t>OPERATIVOS DE VIGILANCIA Y CONTROL</t>
  </si>
  <si>
    <t>Viaticos y subsistencias</t>
  </si>
  <si>
    <t>Pasajes al interior</t>
  </si>
  <si>
    <t>Horas suplementarias y extraordinarias</t>
  </si>
  <si>
    <t>Mobiliarios</t>
  </si>
  <si>
    <t>Capacitaciones servidores publicos</t>
  </si>
  <si>
    <t>Prendas de protección y accesorios</t>
  </si>
  <si>
    <t>FINANCIERO</t>
  </si>
  <si>
    <t>Garantizar el funcionamiento adecuado del sistemamonetario y financiero a través de la gestión eficiente de la liquidez, contribuyendo a la sostenibilidad macroeconómica y al desarrollo del país. énfasis en los grupos de atención prioritaria, considerando los contextos territoriales y la diversidad sociocultural.</t>
  </si>
  <si>
    <t>DIRECCION FINANCIERA</t>
  </si>
  <si>
    <t>4000 procesos financieros generados  y registrados, al finalizar el ejercicio económico 2022</t>
  </si>
  <si>
    <t>REMUNERACIONES UNIFICADAS - 2022</t>
  </si>
  <si>
    <t xml:space="preserve">Edicion, impresión y reproduccion </t>
  </si>
  <si>
    <t>Pasajes al Interior</t>
  </si>
  <si>
    <t>Viaticos y subsitencias</t>
  </si>
  <si>
    <t>Materiales de Oficina</t>
  </si>
  <si>
    <t>Descuentos y Comisiones</t>
  </si>
  <si>
    <t>Comisiones Bancarias</t>
  </si>
  <si>
    <t>CONTABILIDAD</t>
  </si>
  <si>
    <t xml:space="preserve">RENTAS </t>
  </si>
  <si>
    <t>TESORERIA</t>
  </si>
  <si>
    <t>JEFE DE LA UNIDAD DE SERVICIOS BASICOS</t>
  </si>
  <si>
    <t>Direccion operativa</t>
  </si>
  <si>
    <t xml:space="preserve"> REMUNERACIONES UNIFICADAS</t>
  </si>
  <si>
    <t xml:space="preserve"> DECIMOTERCER SUELDO</t>
  </si>
  <si>
    <t xml:space="preserve"> DECIMOCUARTO SUELDO</t>
  </si>
  <si>
    <t xml:space="preserve"> APORTE PATRONAL</t>
  </si>
  <si>
    <t xml:space="preserve"> FONDO DE RESERVA</t>
  </si>
  <si>
    <t xml:space="preserve"> MATERIALES DE OFICINA</t>
  </si>
  <si>
    <t xml:space="preserve"> COMPENSACION POR VACACIONES NO GOZADAS POR CESACION DE FUNCIONES</t>
  </si>
  <si>
    <t>Operacion y mantenimiento de sistemas existentes</t>
  </si>
  <si>
    <t xml:space="preserve"> HORAS EXTRAORDINARIAS Y SUPLEMENTARIAS</t>
  </si>
  <si>
    <t xml:space="preserve">321.710510.321 </t>
  </si>
  <si>
    <t xml:space="preserve"> SALARIOS UNIFICADOS</t>
  </si>
  <si>
    <t xml:space="preserve"> COMPENSACION POR TRANSPORTE</t>
  </si>
  <si>
    <t xml:space="preserve"> ALIMENTACION</t>
  </si>
  <si>
    <t xml:space="preserve"> POR CARGAS FAMILIARES</t>
  </si>
  <si>
    <t xml:space="preserve"> DE EDUCACION</t>
  </si>
  <si>
    <t xml:space="preserve"> SUBSIDIO DE ANTIGUEDAD</t>
  </si>
  <si>
    <t xml:space="preserve">SERVICIOS DE ALIMENTACION </t>
  </si>
  <si>
    <t xml:space="preserve"> MAQUINARIAS Y EQUIPOS (INSTALACION MANTENIMIENTO Y REPARACION)</t>
  </si>
  <si>
    <t xml:space="preserve">321.730609.201 </t>
  </si>
  <si>
    <t xml:space="preserve"> ESTUDIOS, ANÁLISIS Y MONITOREO DE CALIDAD DE AGUA</t>
  </si>
  <si>
    <t>SERVICIO DE ANALISIS DE LABORATORIO DE AGUA 2021</t>
  </si>
  <si>
    <t xml:space="preserve"> VESTUARIO LENCERIA PRENDAS DE PROTECCION CARPAS Y OTROS</t>
  </si>
  <si>
    <t xml:space="preserve"> MATERIALES DE ASEO</t>
  </si>
  <si>
    <t xml:space="preserve"> HERRAMIENTAS Y EQUIPOS MENORES</t>
  </si>
  <si>
    <t xml:space="preserve"> INSUMOS BIENES MATERIALES Y SUMINISTROS PARA LA CONSTRUCCION ELECTRICIDAD PLOMERIA CARPINTERIA SENALIZACION VIAL NAVEGACION Y CO</t>
  </si>
  <si>
    <t xml:space="preserve"> ADQUISICION DE ACCESORIOS E INSUMOS QUIMICOS Y ORGANICOS</t>
  </si>
  <si>
    <t>321.730819,351</t>
  </si>
  <si>
    <t xml:space="preserve"> PROVISION DE QUIMICOS PARA TRATAMIENTO DE AGUA POTABLE</t>
  </si>
  <si>
    <t xml:space="preserve"> VEHICULOS (DE LARGA DURACION)</t>
  </si>
  <si>
    <t>Obras nuevas</t>
  </si>
  <si>
    <t xml:space="preserve"> ESTUDIO Y DISENO DE PROYECTOS</t>
  </si>
  <si>
    <t>MATERIAL INFORMATIVO PLANES MAESTROS DE AGUA DE LA CIUDAD DE GRAL.PLAZA</t>
  </si>
  <si>
    <t>DIFUSION Y PUBLICIDAD  PLANES MAESTROS DE AGUA DE LA CIUDAD DE GRAL.PLAZA</t>
  </si>
  <si>
    <t>FISCALIZACION PLANES MAESTROS DE AGUA DE LA CIUDAD DE GRAL.PLAZA (ARRASTRE)</t>
  </si>
  <si>
    <t>CONSTRUCCION DE PLANES MAESTROS DE AGUA DE LA CIUDAD DE GRAL.PLAZA</t>
  </si>
  <si>
    <t>321.750101.371</t>
  </si>
  <si>
    <t>CONSTRUCCION DE SISTEMAS DE AGUA POTABLE Y SANEAMIENTO EN EL CANTON</t>
  </si>
  <si>
    <t>ANEXO DE OBRAS</t>
  </si>
  <si>
    <t>Sistema de Agua Maikiuants</t>
  </si>
  <si>
    <t>Sistema de agua potable y alcantarillado El Triunfo</t>
  </si>
  <si>
    <t>Sistema de Agua de San Juan y Tserem</t>
  </si>
  <si>
    <t>Sistema de agua potable y alcantarillado San José</t>
  </si>
  <si>
    <t>Sistema de agua potable y alcantarillado Pupunás</t>
  </si>
  <si>
    <t>Sistema de agua potable y alcantarillado Pambilar</t>
  </si>
  <si>
    <t>Mejoramiento y apliación del sistema de Agua Potable de la Cabecera Parroquial de San Miguel de Conchay</t>
  </si>
  <si>
    <t>Reparación de sistema de agua de Metzamkim</t>
  </si>
  <si>
    <t>Sistema de Agua de Shuar Ampam</t>
  </si>
  <si>
    <t xml:space="preserve">DEPURACION DE AGUAS </t>
  </si>
  <si>
    <t xml:space="preserve"> ANALISIS Y MONITOREO DE CALIDAD DE AGUAS RESIDUALES</t>
  </si>
  <si>
    <t>ANALISIS DE LABORATORIO DE AGUAS RESIDUALES 2021</t>
  </si>
  <si>
    <t xml:space="preserve"> SERVICIO DE CAPACITACION</t>
  </si>
  <si>
    <t xml:space="preserve"> HERRAMIENTAS (DE LARGA DURACION)</t>
  </si>
  <si>
    <t>obras NUEVAS</t>
  </si>
  <si>
    <t>CONSTRUCCION DE LOS PLANES MAESTROS DE ALCANTARILLADO GRAL.PLAZA</t>
  </si>
  <si>
    <t>PLANES MAESTROS SISTEMA DE ALCANTARILLADO DE LA CIUDAD GRAL. PLAZA (INCREMENTOS)</t>
  </si>
  <si>
    <t>322.750103.03</t>
  </si>
  <si>
    <t>CONSTRUCCION DE SISTEMAS DE Alcantarillado Y SANEAMIENTO EN EL CANTON</t>
  </si>
  <si>
    <t>322.750103.04</t>
  </si>
  <si>
    <t>CONSTRUCCION SISTEMA ALCANTARILLADO PLUVIALSAN MIGUEL DE CONCHAY</t>
  </si>
  <si>
    <t>322.750103.154</t>
  </si>
  <si>
    <t>CONSTRUCCION DE UNIDADES BASICAS SANITARIAS</t>
  </si>
  <si>
    <t>UNIDAD DE EDUCACION, CULTURA, TURISMO Y DEPORTES</t>
  </si>
  <si>
    <t>710510</t>
  </si>
  <si>
    <t>210.710707</t>
  </si>
  <si>
    <t>COMPENSACIONES POR VACACIONES NO GOZADAS</t>
  </si>
  <si>
    <t>BIENES Y SERVICIOS</t>
  </si>
  <si>
    <t>210.730804</t>
  </si>
  <si>
    <t>210.730805</t>
  </si>
  <si>
    <t>SUBTOTAL PROYECTO DIRECCION ESTRATEGICA</t>
  </si>
  <si>
    <t>Celda de Control</t>
  </si>
  <si>
    <t>Actividad PAC</t>
  </si>
  <si>
    <t>SALVAGUARDA Y PRESERVACION DE LAS TRADICIONES PATRIMONIALES</t>
  </si>
  <si>
    <t>AGOSTO  MES  DE LAS  ARTES</t>
  </si>
  <si>
    <t>500 personas participan de las actividades planificadas</t>
  </si>
  <si>
    <t>Eventos culturales y sociales</t>
  </si>
  <si>
    <t>Contratación de servicios de organización, planificación, producción, ejecución, y presentación de eventos artísticos y/o culturales en sus diferentes expresiones</t>
  </si>
  <si>
    <t>RITUAL DE LA CHONTA</t>
  </si>
  <si>
    <t>300 personas participan y conviven en el Ritual de la Chonta</t>
  </si>
  <si>
    <t>FESTIVAL DE LA MÚSICA EN LA JUNGLA</t>
  </si>
  <si>
    <t>El 95% del presupuesto asignado ejecutado</t>
  </si>
  <si>
    <t>FESTIVAL DE LA CANCION NACIONAL</t>
  </si>
  <si>
    <t>300 Personas asisten, participan y conviven en el festival nacional de la canción</t>
  </si>
  <si>
    <t>Alquiler de Amplificación profesional, escenario, luces y escenografía. Actuación de marco musical para acommpañamiento de los participantes.</t>
  </si>
  <si>
    <t>COSTUMBRES Y TRADICIONES DE FIN DE AñO</t>
  </si>
  <si>
    <t>600 personas participan en actividades planificadas</t>
  </si>
  <si>
    <t>730205</t>
  </si>
  <si>
    <t>Alquiler de Amplificación, escenario, escenografía y arreglos navideños. Contratación  de solistas y comparsas.</t>
  </si>
  <si>
    <t>Adquisición de arreglos de iluminación navideña</t>
  </si>
  <si>
    <t>PATRIMONIO INTANGIBLE LIMON INDANZA</t>
  </si>
  <si>
    <t>El 20% de la población local participa de las actividades planificas</t>
  </si>
  <si>
    <t>FORMACION Y CAPACITACION CULTURAL</t>
  </si>
  <si>
    <t>COLONIAS VACACIONALES</t>
  </si>
  <si>
    <t>150 NNA participan y conviven en las colonias</t>
  </si>
  <si>
    <t>Adquisición de refrigerios, evento sociocultural con actuaciones artísticas con mensajes educativos y formativos. Materiales didacticos para desarrollo de juegos y talleres.</t>
  </si>
  <si>
    <t>ADQUISICIÓN EQUIPOS, AMPLIFICADORES E INSTRUMENTOS MUSICALES</t>
  </si>
  <si>
    <t>Maquinarias y equipos (De larga duración)</t>
  </si>
  <si>
    <t>Adquisición de: DOS AMPLIFICADORES  DE  GUITARRA con efectos incluidos (2240 USD). Adquisición de: UN AMPLIFICADOR  PARA BAJO  (1120 USD). Adquisición de potencia de 6 mil watts</t>
  </si>
  <si>
    <t xml:space="preserve">MANTENIMIENTO DE EQUIPOS DE AMPLIFICACIÓN, INSTRUMENTOS MUSICALES, CABLES Y ACCESORIOS </t>
  </si>
  <si>
    <t>Maquinarias y equipos. (Instalación, mantenimiento y reparación)</t>
  </si>
  <si>
    <t>Reparación y mantenimiento de equipos de amplificación. Adquisición de juegos de cuerdas, parches, cañas de instrumentos de viento y cables para conexiones</t>
  </si>
  <si>
    <t>IMPLEMENTAR LA ESCUELA DE ARTES, PARA LA FORMACIÓN DE NNA Y ADULTOS EN LAS EXPRESIONES ATÍSTICAS DE: MÙSICA, DANZA, TEATRO Y PINTURA</t>
  </si>
  <si>
    <t>200 NNA participan en talleres de danza, teatro y otras artes</t>
  </si>
  <si>
    <t>Pago de sueldos de:
 *1 monitor de danza ($544,49 mensual)
*1 monitor de pintura ($544,49 mensual)
* 1 Instructor de pintura ($817 mensual)</t>
  </si>
  <si>
    <t>Materiales Didácticos</t>
  </si>
  <si>
    <t>730249</t>
  </si>
  <si>
    <t>Alquiler de vestimenta</t>
  </si>
  <si>
    <t>Taller de técnicas profesionales de Danza Contemporánea, Urbana y Folclórica para monitores de Danza</t>
  </si>
  <si>
    <t>100% del personal de danza capacitado</t>
  </si>
  <si>
    <t>730612</t>
  </si>
  <si>
    <t>CAPACITACION A SERVIDORES PUBLICOS</t>
  </si>
  <si>
    <t>Contratación de un instructor profesional de danza</t>
  </si>
  <si>
    <t>SUBTOTAL PROYECTOS DE CULTURA</t>
  </si>
  <si>
    <t>TOTAL PROGRAMA CULTURA</t>
  </si>
  <si>
    <t>EDUCACION</t>
  </si>
  <si>
    <t xml:space="preserve">DIFUNDIR E INCENTIVAR LA CULTURA Y LECTURA, MEDIANTE LA REALIZACIÓN DE CONCURSOS LITERARIOS </t>
  </si>
  <si>
    <t>210.730812</t>
  </si>
  <si>
    <t xml:space="preserve">MATERIALES DIDACTICOS </t>
  </si>
  <si>
    <t>Espectáculos sociales y culturales</t>
  </si>
  <si>
    <t>TOTAL PROGRAMA EDUCACION</t>
  </si>
  <si>
    <t>TURISMO</t>
  </si>
  <si>
    <t>Implementación de Facilidades Turísticas en atractivos turísticos de Limón Indanza</t>
  </si>
  <si>
    <t>Contratación de servicios de obra civil  para implementación de proyectos turísticos</t>
  </si>
  <si>
    <t>750107.005</t>
  </si>
  <si>
    <t xml:space="preserve"> INFRAESTRUCTURA FACILIDADES TURISTICAS EN EL CANTÓN LIMÓN INDANZA</t>
  </si>
  <si>
    <t>210.840301</t>
  </si>
  <si>
    <t>TERRENOS (EXPROPIACION)</t>
  </si>
  <si>
    <t>210.730811</t>
  </si>
  <si>
    <t>INSUMOS BIENES MATERIALES Y SUMINISTROS PARA LA CONSTRUCCION ELECTRICIDAD PLOMERIA CARPINTERIA SENALIZACION VIAL NAVEGACION Y CO – 2021</t>
  </si>
  <si>
    <t>Contratar equipo consultor para elaboración de estudio turístico para la Cueva de los Tayos</t>
  </si>
  <si>
    <t>730605.009</t>
  </si>
  <si>
    <t>ESTUDIOS Y PROYECTOS AñOS A 2021</t>
  </si>
  <si>
    <t>730605</t>
  </si>
  <si>
    <t xml:space="preserve">Estudios y diseños de propuesta integral de Turismo Comunitario en la Cueva de los Tayos </t>
  </si>
  <si>
    <t>Fortalecimiento de los emprendimientos turísticos del cantón Limón Indanza</t>
  </si>
  <si>
    <t>Mantenimiento senderos ecologicos</t>
  </si>
  <si>
    <t xml:space="preserve">Adquirir e implementar señales turísticas y de información de destino </t>
  </si>
  <si>
    <t>Adquirir y entregar en comodato a la comunidad Peña Blanca, muebles y enseres para alojamiento y cocina</t>
  </si>
  <si>
    <t>840103</t>
  </si>
  <si>
    <t>730820</t>
  </si>
  <si>
    <t>Menaje y descartables</t>
  </si>
  <si>
    <t>Mejoramiento de las capacidades operativas de los servidores turísticos del cantón Limón Indanza</t>
  </si>
  <si>
    <t>730613</t>
  </si>
  <si>
    <t>CAPACITACION PARA LA CIUDADANIA GENERAL</t>
  </si>
  <si>
    <t>Promoción y difusión turística del cantón Limón Indanza</t>
  </si>
  <si>
    <t>710510.218</t>
  </si>
  <si>
    <t>Adquirir un tottem interactivo touch de doble pantalla</t>
  </si>
  <si>
    <t>210.840104</t>
  </si>
  <si>
    <t>Desarrollar el evento conteo navideño de aves</t>
  </si>
  <si>
    <t>730235</t>
  </si>
  <si>
    <t>SERVICIOS DE Alimentación</t>
  </si>
  <si>
    <t>210.730204</t>
  </si>
  <si>
    <t>EDICION IMPRESION REPRODUCCION PUBLICACIONES SUSCRIPCIONES FOTOCOPIADO TRADUCCION EMPASTADO ENMARCACION SERIGRAFIA FOTOGRAFIA</t>
  </si>
  <si>
    <t>Desarrollar un evento de fam trip, que  genere canales de comercialización de productos turísticos del cantón con los principales operadores turísticos de la región austral</t>
  </si>
  <si>
    <t>730205.212</t>
  </si>
  <si>
    <t>Ferias del emprendimiento en coordinación la Dirección de Ambiente y Fomento</t>
  </si>
  <si>
    <t>210.730205</t>
  </si>
  <si>
    <t>Carnaval culturizado</t>
  </si>
  <si>
    <t>210.730205.10</t>
  </si>
  <si>
    <t>CARNAVAL CULTURIZADO</t>
  </si>
  <si>
    <t>Intervenciones urbanas con fines de atracción turística</t>
  </si>
  <si>
    <t>710106</t>
  </si>
  <si>
    <t>Contrucción del monumento a los petroglifos del Catazho en General Plaza</t>
  </si>
  <si>
    <t>750104</t>
  </si>
  <si>
    <t>Obras de urbanizacion y embellecimiento</t>
  </si>
  <si>
    <t>Adquisición de materiales para intervención en la fachada de la Escuela Albino del Curto</t>
  </si>
  <si>
    <t>Adquisición de materiales para implementación de arcos de alegorias de la selva</t>
  </si>
  <si>
    <t>Contratación de servicios profesionales para la restauración del carro antiguo de bomberos</t>
  </si>
  <si>
    <t>210.730405</t>
  </si>
  <si>
    <t>Vehiculos reparacion y mantenimiento</t>
  </si>
  <si>
    <t>Contratación de servicios de reparacion para pintado de fachadas de casas de la calle Quito, incluido materiales</t>
  </si>
  <si>
    <t>750501.002</t>
  </si>
  <si>
    <t>Mantenimiento y reparacion de infraestructuras turisticas</t>
  </si>
  <si>
    <t>TOTAL PROGRAMA TURISMO</t>
  </si>
  <si>
    <t>DEPORTE FORMATIVO</t>
  </si>
  <si>
    <t>ESCUELAS DEPORTIVAS</t>
  </si>
  <si>
    <t>SERRVICIOS PERSONALES POR CONTRATO</t>
  </si>
  <si>
    <t>Honorarios por contratos  civiles de servicios</t>
  </si>
  <si>
    <t>EQUIPOS PAQUETES Y SISTEMAS INFORMATICOS</t>
  </si>
  <si>
    <t>BIENES Y SERVICIOS PARA IMPLEMENTACION</t>
  </si>
  <si>
    <t>UNIFORMES</t>
  </si>
  <si>
    <t>Insumos, Bienes para la Producción Eventos Culturales, Art</t>
  </si>
  <si>
    <t>CAMPEONATOS DEPORTIVOS</t>
  </si>
  <si>
    <t>Adquisición de trofeos y medallas</t>
  </si>
  <si>
    <t>Contratar servicios de arbitrajes</t>
  </si>
  <si>
    <t>Adquisición de cal y otros insumos para el desarrollo de campeonato</t>
  </si>
  <si>
    <t>DEPORTES AL AIRE LIBRE</t>
  </si>
  <si>
    <t>Ruta Sharup</t>
  </si>
  <si>
    <t>ESPECTÁCULOS CULTURALES Y SOCIALES</t>
  </si>
  <si>
    <t>PINTOR</t>
  </si>
  <si>
    <t>CERRO BOSCO YA PAGADO</t>
  </si>
  <si>
    <t>PROYECTOS Y COOPERACION INTERNACIONAL</t>
  </si>
  <si>
    <t>SOCIO CULTURAL</t>
  </si>
  <si>
    <t>EQUIPAMIENTO</t>
  </si>
  <si>
    <t xml:space="preserve">Equipos sistemas y paquetes informaticos </t>
  </si>
  <si>
    <t>ESTUDIOS</t>
  </si>
  <si>
    <t>NUEVOS ESTUDIOS</t>
  </si>
  <si>
    <t>ESTUDIO DE PROYECTOS</t>
  </si>
  <si>
    <t>Honorarios servicios civiles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</si>
</sst>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 &quot;$&quot;* #,##0.00_ ;_ &quot;$&quot;* \-#,##0.00_ ;_ &quot;$&quot;* &quot;-&quot;??_ ;_ @_ "/>
    <numFmt numFmtId="165" formatCode="_ * #,##0.00_ ;_ * \-#,##0.00_ ;_ * &quot;-&quot;??_ ;_ @_ "/>
    <numFmt numFmtId="166" formatCode="_(&quot;$&quot;\ * #,##0.00_);_(&quot;$&quot;\ * \(#,##0.00\);_(&quot;$&quot;\ * &quot;-&quot;??_);_(@_)"/>
    <numFmt numFmtId="167" formatCode="0.0%"/>
    <numFmt numFmtId="168" formatCode="_ [$$-300A]* #,##0.00_ ;_ [$$-300A]* \-#,##0.00_ ;_ [$$-300A]* &quot;-&quot;??_ ;_ @_ "/>
    <numFmt numFmtId="169" formatCode="_(&quot;$&quot;* #,##0.00_);_(&quot;$&quot;* \(#,##0.00\);_(&quot;$&quot;* &quot;-&quot;??_);_(@_)"/>
    <numFmt numFmtId="170" formatCode="0.000000"/>
    <numFmt numFmtId="171" formatCode="0.000"/>
  </numFmts>
  <fonts count="73" x14ac:knownFonts="1">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sz val="9"/>
      <color theme="1"/>
      <name val="Arial"/>
      <family val="2"/>
    </font>
    <font>
      <sz val="8"/>
      <name val="Calibri"/>
      <family val="2"/>
      <scheme val="minor"/>
    </font>
    <font>
      <sz val="9"/>
      <name val="Arial"/>
      <family val="2"/>
    </font>
    <font>
      <b/>
      <sz val="11"/>
      <color theme="1"/>
      <name val="Calibri"/>
      <family val="2"/>
      <scheme val="minor"/>
    </font>
    <font>
      <sz val="10"/>
      <name val="Arial"/>
      <family val="2"/>
    </font>
    <font>
      <b/>
      <sz val="8"/>
      <name val="Calibri"/>
      <family val="2"/>
      <scheme val="minor"/>
    </font>
    <font>
      <b/>
      <sz val="14"/>
      <color theme="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Arial"/>
      <family val="2"/>
    </font>
    <font>
      <sz val="11"/>
      <color rgb="FF000000"/>
      <name val="Calibri"/>
      <family val="2"/>
      <scheme val="minor"/>
    </font>
    <font>
      <b/>
      <sz val="12"/>
      <color theme="1"/>
      <name val="Arial"/>
      <family val="2"/>
    </font>
    <font>
      <b/>
      <sz val="9"/>
      <color indexed="81"/>
      <name val="Tahoma"/>
      <charset val="1"/>
    </font>
    <font>
      <sz val="11"/>
      <color rgb="FF9C5700"/>
      <name val="Calibri"/>
      <family val="2"/>
      <scheme val="minor"/>
    </font>
    <font>
      <sz val="11"/>
      <color rgb="FF3F3F76"/>
      <name val="Calibri"/>
      <family val="2"/>
      <scheme val="minor"/>
    </font>
    <font>
      <sz val="11"/>
      <color rgb="FFFF0000"/>
      <name val="Calibri"/>
      <family val="2"/>
      <scheme val="minor"/>
    </font>
    <font>
      <b/>
      <sz val="18"/>
      <color theme="1"/>
      <name val="Arial"/>
      <family val="2"/>
    </font>
    <font>
      <sz val="9"/>
      <color theme="1"/>
      <name val="Calibri"/>
      <family val="2"/>
      <scheme val="minor"/>
    </font>
    <font>
      <b/>
      <sz val="9"/>
      <color theme="1"/>
      <name val="Arial"/>
      <family val="2"/>
    </font>
    <font>
      <sz val="12"/>
      <color theme="1"/>
      <name val="Calibri"/>
      <family val="2"/>
      <scheme val="minor"/>
    </font>
    <font>
      <sz val="12"/>
      <color theme="1"/>
      <name val="Arial"/>
      <family val="2"/>
    </font>
    <font>
      <sz val="12"/>
      <color rgb="FF000000"/>
      <name val="Calibri"/>
      <family val="2"/>
      <scheme val="minor"/>
    </font>
    <font>
      <sz val="12"/>
      <name val="Calibri"/>
      <family val="2"/>
      <scheme val="minor"/>
    </font>
    <font>
      <b/>
      <sz val="15"/>
      <color theme="1"/>
      <name val="Arial"/>
      <family val="2"/>
    </font>
    <font>
      <b/>
      <sz val="9"/>
      <color indexed="81"/>
      <name val="Tahoma"/>
      <family val="2"/>
    </font>
    <font>
      <sz val="16"/>
      <color theme="1"/>
      <name val="Calibri"/>
      <family val="2"/>
      <scheme val="minor"/>
    </font>
    <font>
      <sz val="8"/>
      <color theme="1"/>
      <name val="Calibri"/>
      <family val="2"/>
      <scheme val="minor"/>
    </font>
    <font>
      <sz val="11"/>
      <name val="Calibri"/>
      <family val="2"/>
      <scheme val="minor"/>
    </font>
    <font>
      <b/>
      <sz val="8"/>
      <color theme="1"/>
      <name val="Calibri"/>
      <family val="2"/>
      <scheme val="minor"/>
    </font>
    <font>
      <sz val="14"/>
      <color rgb="FF000000"/>
      <name val="Calibri"/>
      <family val="2"/>
      <scheme val="minor"/>
    </font>
    <font>
      <b/>
      <sz val="11"/>
      <color rgb="FF000000"/>
      <name val="Calibri"/>
      <family val="2"/>
      <scheme val="minor"/>
    </font>
    <font>
      <sz val="11"/>
      <color rgb="FF000000"/>
      <name val="Arial"/>
      <family val="2"/>
    </font>
    <font>
      <sz val="11"/>
      <color theme="1"/>
      <name val="Calibri"/>
      <family val="2"/>
    </font>
    <font>
      <sz val="11"/>
      <name val="Arial"/>
      <family val="2"/>
    </font>
    <font>
      <sz val="11"/>
      <color rgb="FF000000"/>
      <name val="Calibri"/>
      <family val="2"/>
    </font>
    <font>
      <b/>
      <sz val="16"/>
      <color theme="1"/>
      <name val="Calibri"/>
      <family val="2"/>
      <scheme val="minor"/>
    </font>
    <font>
      <b/>
      <sz val="12"/>
      <color theme="1"/>
      <name val="Calibri"/>
      <family val="2"/>
      <scheme val="minor"/>
    </font>
    <font>
      <sz val="9"/>
      <color rgb="FF000000"/>
      <name val="Calibri"/>
      <family val="2"/>
    </font>
    <font>
      <sz val="9"/>
      <color theme="1"/>
      <name val="Calibri"/>
      <family val="2"/>
    </font>
    <font>
      <sz val="8"/>
      <color rgb="FF000000"/>
      <name val="Calibri"/>
      <family val="2"/>
      <scheme val="minor"/>
    </font>
    <font>
      <sz val="10"/>
      <color rgb="FF000000"/>
      <name val="Calibri"/>
      <family val="2"/>
      <scheme val="minor"/>
    </font>
    <font>
      <sz val="9"/>
      <color indexed="81"/>
      <name val="Tahoma"/>
      <family val="2"/>
    </font>
    <font>
      <sz val="9"/>
      <color indexed="81"/>
      <name val="Tahoma"/>
      <charset val="1"/>
    </font>
    <font>
      <b/>
      <sz val="9"/>
      <name val="Calibri"/>
      <family val="2"/>
      <scheme val="minor"/>
    </font>
    <font>
      <b/>
      <sz val="9"/>
      <color theme="1"/>
      <name val="Calibri"/>
      <family val="2"/>
      <scheme val="minor"/>
    </font>
    <font>
      <sz val="9"/>
      <name val="Calibri"/>
      <family val="2"/>
      <scheme val="minor"/>
    </font>
    <font>
      <sz val="9"/>
      <color rgb="FF3F3F76"/>
      <name val="Arial"/>
      <family val="2"/>
    </font>
    <font>
      <sz val="14"/>
      <color theme="1"/>
      <name val="Calibri"/>
      <family val="2"/>
      <scheme val="minor"/>
    </font>
    <font>
      <sz val="8"/>
      <name val="Arial"/>
      <family val="2"/>
    </font>
    <font>
      <sz val="8"/>
      <color theme="1"/>
      <name val="Arial"/>
      <family val="2"/>
    </font>
    <font>
      <sz val="11"/>
      <color theme="1"/>
      <name val="/"/>
    </font>
    <font>
      <b/>
      <sz val="9"/>
      <color theme="3"/>
      <name val="Arial"/>
      <family val="2"/>
    </font>
    <font>
      <b/>
      <sz val="11"/>
      <color theme="3"/>
      <name val="Arial"/>
      <family val="2"/>
    </font>
    <font>
      <b/>
      <sz val="18"/>
      <color theme="1"/>
      <name val="Calibri"/>
      <family val="2"/>
      <scheme val="minor"/>
    </font>
    <font>
      <b/>
      <sz val="10"/>
      <name val="Arial"/>
      <family val="2"/>
    </font>
    <font>
      <b/>
      <sz val="10"/>
      <color theme="1"/>
      <name val="Arial"/>
      <family val="2"/>
    </font>
    <font>
      <b/>
      <sz val="12"/>
      <name val="Arial"/>
      <family val="2"/>
    </font>
    <font>
      <b/>
      <sz val="14"/>
      <name val="Calibri"/>
      <family val="2"/>
      <scheme val="minor"/>
    </font>
    <font>
      <b/>
      <sz val="8"/>
      <name val="Arial"/>
      <family val="2"/>
    </font>
    <font>
      <b/>
      <sz val="8"/>
      <color theme="1"/>
      <name val="Arial"/>
      <family val="2"/>
    </font>
    <font>
      <sz val="10"/>
      <color theme="1"/>
      <name val="Arial"/>
      <family val="2"/>
    </font>
    <font>
      <sz val="8"/>
      <color rgb="FF000000"/>
      <name val="Calibri"/>
      <family val="2"/>
    </font>
    <font>
      <b/>
      <sz val="14"/>
      <name val="Arial"/>
      <family val="2"/>
    </font>
    <font>
      <sz val="8"/>
      <name val="Calibri"/>
      <family val="2"/>
    </font>
    <font>
      <b/>
      <sz val="8"/>
      <name val="Calibri"/>
      <family val="2"/>
    </font>
    <font>
      <sz val="10"/>
      <name val="Calibri"/>
      <family val="2"/>
    </font>
    <font>
      <sz val="10"/>
      <color rgb="FF000000"/>
      <name val="Calibri"/>
      <family val="2"/>
    </font>
    <font>
      <sz val="22"/>
      <color theme="1"/>
      <name val="Calibri"/>
      <family val="2"/>
      <scheme val="minor"/>
    </font>
  </fonts>
  <fills count="29">
    <fill>
      <patternFill patternType="none"/>
    </fill>
    <fill>
      <patternFill patternType="gray125"/>
    </fill>
    <fill>
      <patternFill patternType="solid">
        <fgColor rgb="FFCCEC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EB9C"/>
      </patternFill>
    </fill>
    <fill>
      <patternFill patternType="solid">
        <fgColor rgb="FFFFCC99"/>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7" tint="-0.249977111117893"/>
        <bgColor indexed="64"/>
      </patternFill>
    </fill>
    <fill>
      <patternFill patternType="solid">
        <fgColor theme="7" tint="0.79998168889431442"/>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FFE699"/>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indexed="64"/>
      </top>
      <bottom/>
      <diagonal/>
    </border>
    <border>
      <left style="thin">
        <color rgb="FF000000"/>
      </left>
      <right style="medium">
        <color indexed="64"/>
      </right>
      <top/>
      <bottom/>
      <diagonal/>
    </border>
    <border>
      <left/>
      <right style="thin">
        <color indexed="64"/>
      </right>
      <top/>
      <bottom style="thin">
        <color rgb="FF000000"/>
      </bottom>
      <diagonal/>
    </border>
    <border>
      <left style="thin">
        <color indexed="64"/>
      </left>
      <right style="thin">
        <color indexed="64"/>
      </right>
      <top style="thin">
        <color rgb="FF000000"/>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0" fontId="8" fillId="0" borderId="0"/>
    <xf numFmtId="0" fontId="18" fillId="9" borderId="0" applyNumberFormat="0" applyBorder="0" applyAlignment="0" applyProtection="0"/>
    <xf numFmtId="0" fontId="19" fillId="10" borderId="11" applyNumberFormat="0" applyAlignment="0" applyProtection="0"/>
    <xf numFmtId="44"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cellStyleXfs>
  <cellXfs count="1063">
    <xf numFmtId="0" fontId="0" fillId="0" borderId="0" xfId="0"/>
    <xf numFmtId="0" fontId="0" fillId="0" borderId="2" xfId="0" applyBorder="1"/>
    <xf numFmtId="9" fontId="4" fillId="0" borderId="2" xfId="2" applyFont="1" applyFill="1" applyBorder="1" applyAlignment="1">
      <alignment horizontal="center" vertical="center"/>
    </xf>
    <xf numFmtId="0" fontId="4" fillId="0" borderId="2" xfId="0" applyFont="1" applyBorder="1" applyAlignment="1">
      <alignment horizontal="left" vertical="center" wrapText="1"/>
    </xf>
    <xf numFmtId="0" fontId="0" fillId="0" borderId="2" xfId="0" applyBorder="1" applyAlignment="1">
      <alignment vertical="center" wrapText="1"/>
    </xf>
    <xf numFmtId="165" fontId="4" fillId="0" borderId="2" xfId="4" applyFont="1" applyFill="1" applyBorder="1" applyAlignment="1">
      <alignment horizontal="right" vertical="center" wrapText="1"/>
    </xf>
    <xf numFmtId="49" fontId="4" fillId="6" borderId="2" xfId="0" applyNumberFormat="1" applyFont="1" applyFill="1" applyBorder="1" applyAlignment="1">
      <alignment horizontal="left" vertical="center" wrapText="1"/>
    </xf>
    <xf numFmtId="49" fontId="4" fillId="6"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6" borderId="2" xfId="0" applyFont="1" applyFill="1" applyBorder="1" applyAlignment="1">
      <alignment horizontal="left" vertical="center" wrapText="1"/>
    </xf>
    <xf numFmtId="0" fontId="0" fillId="6" borderId="2" xfId="0" applyFill="1" applyBorder="1" applyAlignment="1">
      <alignment vertical="center" wrapText="1"/>
    </xf>
    <xf numFmtId="0" fontId="4" fillId="6" borderId="2" xfId="0" applyFont="1" applyFill="1" applyBorder="1" applyAlignment="1">
      <alignment horizontal="center" vertical="center" wrapText="1"/>
    </xf>
    <xf numFmtId="9" fontId="4" fillId="0" borderId="2" xfId="0" applyNumberFormat="1" applyFont="1" applyBorder="1" applyAlignment="1">
      <alignment vertical="center" wrapText="1"/>
    </xf>
    <xf numFmtId="167" fontId="4" fillId="0" borderId="2" xfId="0" applyNumberFormat="1" applyFont="1" applyBorder="1" applyAlignment="1">
      <alignment vertical="center" wrapText="1"/>
    </xf>
    <xf numFmtId="0" fontId="8" fillId="0" borderId="2" xfId="0" applyFont="1" applyBorder="1" applyAlignment="1">
      <alignment vertical="center" wrapText="1"/>
    </xf>
    <xf numFmtId="0" fontId="0" fillId="0" borderId="2" xfId="0" applyBorder="1" applyAlignment="1">
      <alignment vertical="center"/>
    </xf>
    <xf numFmtId="0" fontId="9" fillId="0" borderId="2" xfId="0" applyFont="1" applyBorder="1" applyAlignment="1">
      <alignment vertical="center" wrapText="1"/>
    </xf>
    <xf numFmtId="0" fontId="9" fillId="3" borderId="2" xfId="0" applyFont="1" applyFill="1" applyBorder="1" applyAlignment="1">
      <alignment vertical="center" wrapText="1"/>
    </xf>
    <xf numFmtId="0" fontId="9" fillId="4" borderId="2" xfId="0" applyFont="1" applyFill="1" applyBorder="1" applyAlignment="1">
      <alignment vertical="center" wrapText="1"/>
    </xf>
    <xf numFmtId="0" fontId="9" fillId="2" borderId="2" xfId="3" applyNumberFormat="1" applyFont="1" applyFill="1" applyBorder="1" applyAlignment="1">
      <alignment vertical="center" wrapText="1"/>
    </xf>
    <xf numFmtId="0" fontId="9" fillId="2" borderId="2" xfId="3" applyNumberFormat="1" applyFont="1" applyFill="1" applyBorder="1" applyAlignment="1">
      <alignment horizontal="righ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2" xfId="0" applyNumberFormat="1" applyFont="1" applyFill="1" applyBorder="1" applyAlignment="1">
      <alignment horizontal="right" vertical="center" wrapText="1"/>
    </xf>
    <xf numFmtId="4" fontId="9" fillId="2" borderId="2" xfId="0" applyNumberFormat="1" applyFont="1" applyFill="1" applyBorder="1" applyAlignment="1">
      <alignment horizontal="right" vertical="center" wrapText="1"/>
    </xf>
    <xf numFmtId="10" fontId="9" fillId="2" borderId="2" xfId="2" applyNumberFormat="1" applyFont="1" applyFill="1" applyBorder="1" applyAlignment="1">
      <alignment horizontal="center" vertical="center" wrapText="1"/>
    </xf>
    <xf numFmtId="166" fontId="9" fillId="2"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xf>
    <xf numFmtId="0" fontId="4" fillId="0" borderId="0" xfId="0" applyFont="1" applyAlignment="1">
      <alignment horizontal="center" vertical="center" wrapText="1"/>
    </xf>
    <xf numFmtId="0" fontId="12" fillId="0" borderId="2" xfId="0" applyFont="1" applyBorder="1" applyAlignment="1">
      <alignment vertical="center" wrapText="1"/>
    </xf>
    <xf numFmtId="0" fontId="13" fillId="0" borderId="2" xfId="0" applyFont="1" applyBorder="1"/>
    <xf numFmtId="0" fontId="13" fillId="0" borderId="2" xfId="0" applyFont="1" applyBorder="1" applyAlignment="1">
      <alignment horizontal="left" vertical="center" wrapText="1"/>
    </xf>
    <xf numFmtId="0" fontId="0" fillId="0" borderId="2" xfId="0" applyBorder="1" applyAlignment="1">
      <alignment horizontal="right" vertical="center"/>
    </xf>
    <xf numFmtId="49" fontId="3" fillId="0" borderId="2" xfId="0" applyNumberFormat="1" applyFont="1" applyBorder="1" applyAlignment="1">
      <alignment horizontal="right" vertical="center" wrapText="1"/>
    </xf>
    <xf numFmtId="164" fontId="7" fillId="5" borderId="2" xfId="0" applyNumberFormat="1" applyFont="1" applyFill="1" applyBorder="1"/>
    <xf numFmtId="0" fontId="7" fillId="5" borderId="2" xfId="0" applyFont="1" applyFill="1" applyBorder="1"/>
    <xf numFmtId="49" fontId="4" fillId="0" borderId="0" xfId="0" applyNumberFormat="1" applyFont="1" applyAlignment="1">
      <alignment horizontal="center" vertical="center" wrapText="1"/>
    </xf>
    <xf numFmtId="0" fontId="4" fillId="0" borderId="0" xfId="0" applyFont="1" applyAlignment="1">
      <alignment vertical="center" wrapText="1"/>
    </xf>
    <xf numFmtId="165" fontId="4" fillId="0" borderId="0" xfId="4" applyFont="1" applyFill="1" applyBorder="1" applyAlignment="1">
      <alignment horizontal="right" vertical="center" wrapText="1"/>
    </xf>
    <xf numFmtId="9" fontId="4" fillId="0" borderId="0" xfId="0" applyNumberFormat="1" applyFont="1" applyAlignment="1">
      <alignment horizontal="center" vertical="center" wrapText="1"/>
    </xf>
    <xf numFmtId="165" fontId="14" fillId="5" borderId="2" xfId="4" applyFont="1" applyFill="1" applyBorder="1" applyAlignment="1">
      <alignment horizontal="right" vertical="center" wrapText="1"/>
    </xf>
    <xf numFmtId="0" fontId="0" fillId="0" borderId="3" xfId="0" applyBorder="1"/>
    <xf numFmtId="9" fontId="4"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0" fillId="7" borderId="2" xfId="0" applyFill="1" applyBorder="1"/>
    <xf numFmtId="0" fontId="0" fillId="0" borderId="8" xfId="0" applyBorder="1" applyAlignment="1">
      <alignment horizontal="right" vertical="center"/>
    </xf>
    <xf numFmtId="49" fontId="4" fillId="0" borderId="10" xfId="0" applyNumberFormat="1" applyFont="1" applyBorder="1" applyAlignment="1">
      <alignment vertical="center"/>
    </xf>
    <xf numFmtId="49" fontId="4" fillId="0" borderId="8" xfId="0" applyNumberFormat="1" applyFont="1" applyBorder="1" applyAlignment="1">
      <alignment vertical="center"/>
    </xf>
    <xf numFmtId="49" fontId="4" fillId="0" borderId="8" xfId="0" applyNumberFormat="1" applyFont="1" applyBorder="1" applyAlignment="1">
      <alignment horizontal="center" vertical="center" wrapText="1"/>
    </xf>
    <xf numFmtId="49" fontId="0" fillId="0" borderId="8" xfId="0" applyNumberFormat="1" applyBorder="1" applyAlignment="1">
      <alignment vertical="center"/>
    </xf>
    <xf numFmtId="49" fontId="4" fillId="0" borderId="8" xfId="0" applyNumberFormat="1" applyFont="1" applyBorder="1" applyAlignment="1">
      <alignment vertical="center" wrapText="1"/>
    </xf>
    <xf numFmtId="49" fontId="6" fillId="0" borderId="8" xfId="1" applyNumberFormat="1" applyFont="1" applyFill="1" applyBorder="1" applyAlignment="1">
      <alignment vertical="center" wrapText="1"/>
    </xf>
    <xf numFmtId="0" fontId="0" fillId="0" borderId="8" xfId="0" applyBorder="1"/>
    <xf numFmtId="164" fontId="0" fillId="7" borderId="4" xfId="0" applyNumberFormat="1" applyFill="1" applyBorder="1"/>
    <xf numFmtId="165" fontId="15" fillId="7" borderId="2" xfId="0" applyNumberFormat="1" applyFont="1" applyFill="1" applyBorder="1"/>
    <xf numFmtId="165" fontId="16" fillId="8" borderId="0" xfId="4" applyFont="1" applyFill="1" applyBorder="1" applyAlignment="1">
      <alignment horizontal="right" vertical="center" wrapText="1"/>
    </xf>
    <xf numFmtId="0" fontId="11" fillId="2" borderId="7" xfId="3" applyNumberFormat="1" applyFont="1" applyFill="1" applyBorder="1" applyAlignment="1">
      <alignment horizontal="center" vertical="center" wrapText="1"/>
    </xf>
    <xf numFmtId="165" fontId="0" fillId="7" borderId="2" xfId="4" applyFont="1" applyFill="1" applyBorder="1" applyAlignment="1">
      <alignment horizontal="right" vertical="center" wrapText="1"/>
    </xf>
    <xf numFmtId="164" fontId="0" fillId="7" borderId="4" xfId="1" applyFont="1" applyFill="1" applyBorder="1" applyAlignment="1">
      <alignment vertical="center"/>
    </xf>
    <xf numFmtId="164" fontId="0" fillId="7" borderId="2" xfId="1" applyFont="1" applyFill="1" applyBorder="1" applyAlignment="1">
      <alignment vertical="center"/>
    </xf>
    <xf numFmtId="165" fontId="0" fillId="7" borderId="3" xfId="4" applyFont="1" applyFill="1" applyBorder="1" applyAlignment="1">
      <alignment horizontal="right" vertical="center" wrapText="1"/>
    </xf>
    <xf numFmtId="165" fontId="0" fillId="7" borderId="2" xfId="4" applyFont="1" applyFill="1" applyBorder="1" applyAlignment="1">
      <alignment horizontal="right" vertical="center"/>
    </xf>
    <xf numFmtId="164" fontId="0" fillId="7" borderId="2" xfId="1" applyFont="1" applyFill="1" applyBorder="1"/>
    <xf numFmtId="164" fontId="0" fillId="7" borderId="2" xfId="1" applyFont="1" applyFill="1" applyBorder="1" applyAlignment="1">
      <alignment horizontal="right" vertical="center" wrapText="1"/>
    </xf>
    <xf numFmtId="0" fontId="9" fillId="2" borderId="8" xfId="3" applyNumberFormat="1" applyFont="1" applyFill="1" applyBorder="1" applyAlignment="1">
      <alignment vertical="center" wrapText="1"/>
    </xf>
    <xf numFmtId="0" fontId="7" fillId="5" borderId="0" xfId="0" applyFont="1" applyFill="1"/>
    <xf numFmtId="164" fontId="7" fillId="5" borderId="0" xfId="0" applyNumberFormat="1" applyFont="1" applyFill="1"/>
    <xf numFmtId="165" fontId="14" fillId="5" borderId="0" xfId="4" applyFont="1" applyFill="1" applyBorder="1" applyAlignment="1">
      <alignment horizontal="right" vertical="center" wrapText="1"/>
    </xf>
    <xf numFmtId="9" fontId="4" fillId="0" borderId="8" xfId="2" applyFont="1" applyFill="1" applyBorder="1" applyAlignment="1">
      <alignment horizontal="center" vertical="center"/>
    </xf>
    <xf numFmtId="164" fontId="0" fillId="7" borderId="2" xfId="0" applyNumberFormat="1" applyFill="1" applyBorder="1"/>
    <xf numFmtId="0" fontId="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9" fillId="2" borderId="8" xfId="3" applyNumberFormat="1" applyFont="1" applyFill="1" applyBorder="1" applyAlignment="1">
      <alignment horizontal="center" vertical="center" wrapText="1"/>
    </xf>
    <xf numFmtId="0" fontId="9" fillId="2" borderId="2" xfId="3" applyNumberFormat="1" applyFont="1" applyFill="1" applyBorder="1" applyAlignment="1">
      <alignment horizontal="center" vertical="center" wrapText="1"/>
    </xf>
    <xf numFmtId="0" fontId="0" fillId="0" borderId="5" xfId="0" applyBorder="1" applyAlignment="1">
      <alignment horizontal="center"/>
    </xf>
    <xf numFmtId="0" fontId="0" fillId="0" borderId="10" xfId="0" applyBorder="1" applyAlignment="1">
      <alignment horizontal="center"/>
    </xf>
    <xf numFmtId="0" fontId="9" fillId="4" borderId="2" xfId="3" applyNumberFormat="1" applyFont="1" applyFill="1" applyBorder="1" applyAlignment="1">
      <alignment horizontal="center" vertical="center" wrapText="1"/>
    </xf>
    <xf numFmtId="0" fontId="0" fillId="0" borderId="2" xfId="0" applyBorder="1" applyAlignment="1">
      <alignment horizontal="center" wrapText="1"/>
    </xf>
    <xf numFmtId="0" fontId="9" fillId="0" borderId="2" xfId="0" applyFont="1" applyBorder="1" applyAlignment="1">
      <alignment horizontal="center" vertical="center" wrapText="1"/>
    </xf>
    <xf numFmtId="0" fontId="11" fillId="2" borderId="6" xfId="3" applyNumberFormat="1" applyFont="1" applyFill="1" applyBorder="1" applyAlignment="1">
      <alignment horizontal="center" vertical="center" wrapText="1"/>
    </xf>
    <xf numFmtId="0" fontId="11" fillId="2" borderId="7" xfId="3" applyNumberFormat="1" applyFont="1" applyFill="1" applyBorder="1" applyAlignment="1">
      <alignment horizontal="center" vertical="center" wrapText="1"/>
    </xf>
    <xf numFmtId="0" fontId="11" fillId="2" borderId="8" xfId="3" applyNumberFormat="1" applyFont="1" applyFill="1" applyBorder="1" applyAlignment="1">
      <alignment horizontal="center" vertical="center" wrapText="1"/>
    </xf>
    <xf numFmtId="0" fontId="9" fillId="2" borderId="6" xfId="3" applyNumberFormat="1" applyFont="1" applyFill="1" applyBorder="1" applyAlignment="1">
      <alignment horizontal="center" vertical="center" wrapText="1"/>
    </xf>
    <xf numFmtId="0" fontId="9" fillId="2" borderId="7" xfId="3"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9" fillId="3" borderId="2" xfId="3" applyNumberFormat="1" applyFont="1" applyFill="1" applyBorder="1" applyAlignment="1">
      <alignment horizontal="center" vertical="center" wrapText="1"/>
    </xf>
    <xf numFmtId="9" fontId="4" fillId="0" borderId="2" xfId="0" applyNumberFormat="1" applyFont="1" applyBorder="1" applyAlignment="1">
      <alignment horizontal="center" vertical="center"/>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vertical="center" wrapText="1"/>
    </xf>
    <xf numFmtId="0" fontId="16" fillId="0" borderId="1" xfId="0" applyFont="1" applyBorder="1" applyAlignment="1">
      <alignment horizontal="center" vertical="center" wrapText="1"/>
    </xf>
    <xf numFmtId="0" fontId="0" fillId="0" borderId="2" xfId="0" applyBorder="1" applyAlignment="1">
      <alignment horizontal="right"/>
    </xf>
    <xf numFmtId="0" fontId="24" fillId="0" borderId="2" xfId="0" applyFont="1" applyBorder="1" applyAlignment="1">
      <alignment vertical="center" wrapText="1"/>
    </xf>
    <xf numFmtId="0" fontId="16" fillId="0" borderId="2" xfId="0" applyFont="1" applyBorder="1" applyAlignment="1">
      <alignment horizontal="center" vertical="center" wrapText="1"/>
    </xf>
    <xf numFmtId="0" fontId="25" fillId="11" borderId="1" xfId="0" applyFont="1" applyFill="1" applyBorder="1" applyAlignment="1">
      <alignment horizontal="center" vertical="center" wrapText="1"/>
    </xf>
    <xf numFmtId="0" fontId="16" fillId="0" borderId="3" xfId="0" applyFont="1" applyBorder="1" applyAlignment="1">
      <alignment horizontal="center" vertical="center" wrapText="1"/>
    </xf>
    <xf numFmtId="0" fontId="25" fillId="11" borderId="2" xfId="0" applyFont="1" applyFill="1" applyBorder="1" applyAlignment="1">
      <alignment horizontal="right" vertical="center" wrapText="1"/>
    </xf>
    <xf numFmtId="0" fontId="24" fillId="11" borderId="2" xfId="0" applyFont="1" applyFill="1" applyBorder="1" applyAlignment="1">
      <alignment vertical="center" wrapText="1"/>
    </xf>
    <xf numFmtId="44" fontId="25" fillId="0" borderId="2" xfId="8"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5" fillId="11" borderId="3" xfId="0" applyFont="1" applyFill="1" applyBorder="1" applyAlignment="1">
      <alignment horizontal="center" vertical="center" wrapText="1"/>
    </xf>
    <xf numFmtId="168" fontId="25" fillId="0" borderId="2" xfId="0" applyNumberFormat="1" applyFont="1" applyBorder="1" applyAlignment="1">
      <alignment horizontal="center" vertical="center" wrapText="1"/>
    </xf>
    <xf numFmtId="0" fontId="25" fillId="11" borderId="2" xfId="0" applyFont="1" applyFill="1" applyBorder="1"/>
    <xf numFmtId="0" fontId="25" fillId="0" borderId="2" xfId="0" applyFont="1" applyBorder="1"/>
    <xf numFmtId="0" fontId="25" fillId="0" borderId="2" xfId="0" applyFont="1" applyBorder="1" applyAlignment="1">
      <alignment horizontal="center" wrapText="1"/>
    </xf>
    <xf numFmtId="0" fontId="16" fillId="0" borderId="4" xfId="0" applyFont="1" applyBorder="1" applyAlignment="1">
      <alignment horizontal="center" vertical="center" wrapText="1"/>
    </xf>
    <xf numFmtId="0" fontId="26" fillId="11" borderId="2" xfId="0" applyFont="1" applyFill="1" applyBorder="1" applyAlignment="1">
      <alignment vertical="center" wrapText="1"/>
    </xf>
    <xf numFmtId="168" fontId="25" fillId="0" borderId="2" xfId="0" applyNumberFormat="1" applyFont="1" applyBorder="1" applyAlignment="1">
      <alignment horizontal="left" vertical="center" wrapText="1"/>
    </xf>
    <xf numFmtId="0" fontId="25" fillId="11"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11" borderId="2" xfId="0" applyFont="1" applyFill="1" applyBorder="1" applyAlignment="1">
      <alignment horizontal="right" vertical="center"/>
    </xf>
    <xf numFmtId="0" fontId="25" fillId="11" borderId="2" xfId="0" applyFont="1" applyFill="1" applyBorder="1" applyAlignment="1">
      <alignment horizontal="center" vertical="center" wrapText="1"/>
    </xf>
    <xf numFmtId="0" fontId="25" fillId="0" borderId="2" xfId="0" applyFont="1" applyBorder="1" applyAlignment="1">
      <alignment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wrapText="1"/>
    </xf>
    <xf numFmtId="0" fontId="16" fillId="11" borderId="1" xfId="0" applyFont="1" applyFill="1" applyBorder="1" applyAlignment="1">
      <alignment horizontal="center" vertical="center" wrapText="1"/>
    </xf>
    <xf numFmtId="0" fontId="27" fillId="11" borderId="2" xfId="0" applyFont="1" applyFill="1" applyBorder="1" applyAlignment="1">
      <alignment vertical="center" wrapText="1"/>
    </xf>
    <xf numFmtId="0" fontId="25" fillId="11" borderId="2" xfId="0" applyFont="1" applyFill="1" applyBorder="1" applyAlignment="1">
      <alignment vertical="center" wrapText="1"/>
    </xf>
    <xf numFmtId="0" fontId="25" fillId="0" borderId="2" xfId="0" applyFont="1" applyBorder="1" applyAlignment="1">
      <alignment horizontal="center" vertical="center" wrapText="1"/>
    </xf>
    <xf numFmtId="0" fontId="16" fillId="11" borderId="3"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0" borderId="12" xfId="0" applyFont="1" applyBorder="1" applyAlignment="1">
      <alignment horizontal="right"/>
    </xf>
    <xf numFmtId="0" fontId="16" fillId="0" borderId="13" xfId="0" applyFont="1" applyBorder="1" applyAlignment="1">
      <alignment horizontal="right"/>
    </xf>
    <xf numFmtId="0" fontId="16" fillId="0" borderId="14" xfId="0" applyFont="1" applyBorder="1" applyAlignment="1">
      <alignment horizontal="right"/>
    </xf>
    <xf numFmtId="168" fontId="28" fillId="5" borderId="2" xfId="0" applyNumberFormat="1" applyFont="1" applyFill="1" applyBorder="1"/>
    <xf numFmtId="0" fontId="25" fillId="0" borderId="0" xfId="0" applyFont="1"/>
    <xf numFmtId="0" fontId="25" fillId="11" borderId="0" xfId="0" applyFont="1" applyFill="1"/>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0" fontId="30" fillId="0" borderId="2" xfId="0" applyFont="1" applyBorder="1" applyAlignment="1">
      <alignment horizontal="center" vertical="center" textRotation="90"/>
    </xf>
    <xf numFmtId="0" fontId="15" fillId="0" borderId="2" xfId="0" applyFont="1" applyBorder="1" applyAlignment="1">
      <alignment horizontal="center" vertical="center" wrapText="1"/>
    </xf>
    <xf numFmtId="49" fontId="31" fillId="0" borderId="2" xfId="0" applyNumberFormat="1" applyFont="1" applyBorder="1" applyAlignment="1">
      <alignment horizontal="right"/>
    </xf>
    <xf numFmtId="166" fontId="0" fillId="0" borderId="2" xfId="9" applyFont="1" applyFill="1" applyBorder="1"/>
    <xf numFmtId="9" fontId="15" fillId="0" borderId="2" xfId="2" applyFont="1" applyFill="1" applyBorder="1"/>
    <xf numFmtId="9" fontId="15" fillId="0" borderId="2" xfId="0" applyNumberFormat="1" applyFont="1" applyBorder="1"/>
    <xf numFmtId="0" fontId="15" fillId="0" borderId="2" xfId="0" applyFont="1" applyBorder="1"/>
    <xf numFmtId="0" fontId="13" fillId="0" borderId="2" xfId="0" applyFont="1" applyBorder="1" applyAlignment="1">
      <alignment horizontal="left" vertical="center"/>
    </xf>
    <xf numFmtId="49" fontId="5" fillId="0" borderId="2" xfId="0" applyNumberFormat="1" applyFont="1" applyBorder="1" applyAlignment="1">
      <alignment horizontal="right" vertical="center"/>
    </xf>
    <xf numFmtId="0" fontId="12" fillId="0" borderId="2" xfId="0" applyFont="1" applyBorder="1" applyAlignment="1">
      <alignment horizontal="left" vertical="center" wrapText="1"/>
    </xf>
    <xf numFmtId="0" fontId="32" fillId="0" borderId="2" xfId="0" applyFont="1" applyBorder="1" applyAlignment="1">
      <alignment horizontal="center" vertical="center" wrapText="1"/>
    </xf>
    <xf numFmtId="0" fontId="15" fillId="0" borderId="2" xfId="0" applyFont="1" applyBorder="1" applyAlignment="1">
      <alignment wrapText="1"/>
    </xf>
    <xf numFmtId="0" fontId="30" fillId="0" borderId="12" xfId="0" applyFont="1" applyBorder="1" applyAlignment="1">
      <alignment horizontal="right" vertical="center" textRotation="90"/>
    </xf>
    <xf numFmtId="0" fontId="30" fillId="0" borderId="13" xfId="0" applyFont="1" applyBorder="1" applyAlignment="1">
      <alignment horizontal="right" vertical="center" textRotation="90"/>
    </xf>
    <xf numFmtId="0" fontId="30" fillId="0" borderId="14" xfId="0" applyFont="1" applyBorder="1" applyAlignment="1">
      <alignment horizontal="right" vertical="center" textRotation="90"/>
    </xf>
    <xf numFmtId="166" fontId="10" fillId="8" borderId="2" xfId="9" applyFont="1" applyFill="1" applyBorder="1"/>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166" fontId="33" fillId="0" borderId="2" xfId="9" applyFont="1" applyFill="1" applyBorder="1"/>
    <xf numFmtId="0" fontId="34" fillId="0" borderId="0" xfId="0" applyFont="1" applyAlignment="1">
      <alignment horizontal="right"/>
    </xf>
    <xf numFmtId="0" fontId="34" fillId="0" borderId="9" xfId="0" applyFont="1" applyBorder="1" applyAlignment="1">
      <alignment horizontal="right"/>
    </xf>
    <xf numFmtId="166" fontId="10" fillId="5" borderId="2" xfId="9" applyFont="1" applyFill="1" applyBorder="1" applyAlignment="1">
      <alignment vertical="center"/>
    </xf>
    <xf numFmtId="166" fontId="10" fillId="0" borderId="2" xfId="9" applyFont="1" applyFill="1" applyBorder="1" applyAlignment="1">
      <alignment vertical="center"/>
    </xf>
    <xf numFmtId="0" fontId="35" fillId="0" borderId="0" xfId="0" applyFont="1" applyAlignment="1">
      <alignment horizontal="center" vertical="center"/>
    </xf>
    <xf numFmtId="0" fontId="7" fillId="0" borderId="0" xfId="0" applyFont="1" applyAlignment="1">
      <alignment horizontal="center" vertical="center"/>
    </xf>
    <xf numFmtId="166" fontId="1" fillId="0" borderId="0" xfId="9" applyFont="1" applyFill="1"/>
    <xf numFmtId="49" fontId="15" fillId="0" borderId="0" xfId="0" applyNumberFormat="1" applyFont="1" applyAlignment="1">
      <alignment horizontal="right"/>
    </xf>
    <xf numFmtId="0" fontId="15" fillId="0" borderId="0" xfId="0" applyFont="1"/>
    <xf numFmtId="0" fontId="36" fillId="0" borderId="0" xfId="0" applyFont="1"/>
    <xf numFmtId="0" fontId="3" fillId="0" borderId="0" xfId="0" applyFont="1"/>
    <xf numFmtId="166" fontId="3" fillId="0" borderId="0" xfId="9" applyFont="1" applyFill="1"/>
    <xf numFmtId="49" fontId="36" fillId="0" borderId="0" xfId="0" applyNumberFormat="1" applyFont="1" applyAlignment="1">
      <alignment horizontal="right"/>
    </xf>
    <xf numFmtId="49" fontId="0" fillId="0" borderId="0" xfId="0" applyNumberFormat="1" applyAlignment="1">
      <alignment horizontal="right"/>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0" fillId="0" borderId="14" xfId="0" applyBorder="1" applyAlignment="1">
      <alignment horizontal="center" vertical="center" textRotation="90" wrapText="1"/>
    </xf>
    <xf numFmtId="0" fontId="0" fillId="0" borderId="1" xfId="0" applyBorder="1" applyAlignment="1">
      <alignment horizontal="center" vertical="center" wrapText="1"/>
    </xf>
    <xf numFmtId="0" fontId="15" fillId="0" borderId="2" xfId="0" applyFont="1" applyBorder="1" applyAlignment="1">
      <alignment horizontal="right" vertical="center"/>
    </xf>
    <xf numFmtId="0" fontId="15" fillId="0" borderId="2" xfId="0" applyFont="1" applyBorder="1" applyAlignment="1">
      <alignment horizontal="left" vertical="center"/>
    </xf>
    <xf numFmtId="169" fontId="0" fillId="0" borderId="2" xfId="10" applyFont="1" applyFill="1" applyBorder="1" applyAlignment="1">
      <alignment horizontal="right"/>
    </xf>
    <xf numFmtId="9" fontId="0" fillId="0" borderId="2" xfId="2" applyFont="1" applyFill="1" applyBorder="1" applyAlignment="1"/>
    <xf numFmtId="9" fontId="0" fillId="0" borderId="2" xfId="0" applyNumberFormat="1" applyBorder="1"/>
    <xf numFmtId="169" fontId="0" fillId="0" borderId="2" xfId="10" applyFont="1" applyFill="1" applyBorder="1"/>
    <xf numFmtId="169" fontId="0" fillId="0" borderId="0" xfId="0" applyNumberFormat="1"/>
    <xf numFmtId="0" fontId="0" fillId="0" borderId="9" xfId="0" applyBorder="1" applyAlignment="1">
      <alignment horizontal="center" vertical="center" textRotation="90" wrapText="1"/>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center" vertical="center" wrapText="1"/>
    </xf>
    <xf numFmtId="0" fontId="37" fillId="0" borderId="2" xfId="0" applyFont="1" applyBorder="1" applyAlignment="1">
      <alignment horizontal="right" vertical="center"/>
    </xf>
    <xf numFmtId="0" fontId="0" fillId="0" borderId="2" xfId="0" applyBorder="1" applyAlignment="1">
      <alignment horizontal="left" vertical="center"/>
    </xf>
    <xf numFmtId="9" fontId="0" fillId="0" borderId="2" xfId="2" applyFont="1" applyFill="1" applyBorder="1"/>
    <xf numFmtId="0" fontId="37" fillId="0" borderId="2" xfId="0" applyFont="1" applyBorder="1" applyAlignment="1">
      <alignment horizontal="center" vertical="center" textRotation="90" wrapText="1"/>
    </xf>
    <xf numFmtId="0" fontId="38" fillId="0" borderId="2" xfId="0" applyFont="1" applyBorder="1" applyAlignment="1">
      <alignment horizontal="center" vertical="center" wrapText="1"/>
    </xf>
    <xf numFmtId="0" fontId="0" fillId="0" borderId="1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9" fontId="0" fillId="0" borderId="2" xfId="2" applyFont="1" applyBorder="1"/>
    <xf numFmtId="0" fontId="39" fillId="0" borderId="2" xfId="0" applyFont="1" applyBorder="1" applyAlignment="1">
      <alignment horizontal="right" vertical="center"/>
    </xf>
    <xf numFmtId="169" fontId="0" fillId="12" borderId="2" xfId="10" applyFont="1" applyFill="1" applyBorder="1" applyAlignment="1">
      <alignment horizontal="right"/>
    </xf>
    <xf numFmtId="0" fontId="0" fillId="0" borderId="6" xfId="0" applyBorder="1"/>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xf>
    <xf numFmtId="0" fontId="22" fillId="0" borderId="2" xfId="0" applyFont="1" applyBorder="1" applyAlignment="1">
      <alignment horizontal="center" wrapText="1"/>
    </xf>
    <xf numFmtId="0" fontId="0" fillId="0" borderId="16" xfId="0" applyBorder="1" applyAlignment="1">
      <alignment horizontal="center" vertical="center"/>
    </xf>
    <xf numFmtId="0" fontId="37" fillId="0" borderId="14" xfId="0" applyFont="1" applyBorder="1" applyAlignment="1">
      <alignment horizontal="center" vertical="center" textRotation="90" wrapText="1"/>
    </xf>
    <xf numFmtId="0" fontId="37" fillId="0" borderId="9" xfId="0" applyFont="1" applyBorder="1" applyAlignment="1">
      <alignment horizontal="center" vertical="center" textRotation="90" wrapText="1"/>
    </xf>
    <xf numFmtId="0" fontId="0" fillId="0" borderId="15" xfId="0" applyBorder="1" applyAlignment="1">
      <alignment horizontal="center" vertical="center"/>
    </xf>
    <xf numFmtId="9" fontId="0" fillId="0" borderId="2" xfId="2" applyFont="1" applyFill="1" applyBorder="1" applyAlignment="1">
      <alignment vertical="center" wrapText="1"/>
    </xf>
    <xf numFmtId="0" fontId="37" fillId="0" borderId="2" xfId="0" applyFont="1" applyBorder="1" applyAlignment="1">
      <alignment horizontal="center" vertical="center" wrapText="1"/>
    </xf>
    <xf numFmtId="0" fontId="0" fillId="0" borderId="0" xfId="0" applyAlignment="1">
      <alignment wrapText="1"/>
    </xf>
    <xf numFmtId="9" fontId="0" fillId="0" borderId="1" xfId="2" applyFont="1" applyBorder="1"/>
    <xf numFmtId="9" fontId="0" fillId="0" borderId="1" xfId="2" applyFont="1" applyFill="1" applyBorder="1"/>
    <xf numFmtId="9" fontId="0" fillId="0" borderId="1" xfId="0" applyNumberFormat="1" applyBorder="1"/>
    <xf numFmtId="169" fontId="0" fillId="0" borderId="1" xfId="10" applyFont="1" applyFill="1" applyBorder="1"/>
    <xf numFmtId="0" fontId="40" fillId="0" borderId="2" xfId="0" applyFont="1" applyBorder="1" applyAlignment="1">
      <alignment horizontal="right"/>
    </xf>
    <xf numFmtId="169" fontId="41" fillId="5" borderId="2" xfId="10" applyFont="1" applyFill="1" applyBorder="1"/>
    <xf numFmtId="0" fontId="0" fillId="0" borderId="15" xfId="0" applyBorder="1" applyAlignment="1">
      <alignment vertical="center" wrapText="1"/>
    </xf>
    <xf numFmtId="169" fontId="0" fillId="0" borderId="0" xfId="10" applyFont="1" applyFill="1" applyBorder="1"/>
    <xf numFmtId="0" fontId="0" fillId="0" borderId="0" xfId="0" applyAlignment="1">
      <alignment horizontal="left" vertical="center"/>
    </xf>
    <xf numFmtId="169" fontId="41" fillId="0" borderId="0" xfId="10" applyFont="1" applyFill="1"/>
    <xf numFmtId="169" fontId="41" fillId="0" borderId="0" xfId="10" applyFont="1" applyFill="1" applyBorder="1"/>
    <xf numFmtId="166" fontId="9" fillId="2" borderId="6" xfId="0" applyNumberFormat="1" applyFont="1" applyFill="1" applyBorder="1" applyAlignment="1">
      <alignment horizontal="center" vertical="center" wrapText="1"/>
    </xf>
    <xf numFmtId="0" fontId="42" fillId="0" borderId="2" xfId="0" applyFont="1" applyBorder="1" applyAlignment="1">
      <alignment horizontal="right"/>
    </xf>
    <xf numFmtId="168" fontId="0" fillId="0" borderId="2" xfId="0" applyNumberFormat="1" applyBorder="1"/>
    <xf numFmtId="9" fontId="0" fillId="0" borderId="2" xfId="2" applyFont="1" applyFill="1" applyBorder="1" applyAlignment="1">
      <alignment horizontal="right" vertical="center"/>
    </xf>
    <xf numFmtId="9" fontId="0" fillId="0" borderId="2" xfId="0" applyNumberFormat="1" applyBorder="1" applyAlignment="1">
      <alignment horizontal="right" vertical="center" wrapText="1"/>
    </xf>
    <xf numFmtId="0" fontId="0" fillId="0" borderId="2" xfId="0" applyBorder="1" applyAlignment="1">
      <alignment horizontal="right" vertical="center" wrapText="1"/>
    </xf>
    <xf numFmtId="0" fontId="0" fillId="0" borderId="6" xfId="0" applyBorder="1" applyAlignment="1">
      <alignment horizontal="right" vertical="center"/>
    </xf>
    <xf numFmtId="168" fontId="0" fillId="0" borderId="0" xfId="0" applyNumberFormat="1"/>
    <xf numFmtId="0" fontId="43" fillId="0" borderId="2" xfId="0" applyFont="1" applyBorder="1" applyAlignment="1">
      <alignment horizontal="right"/>
    </xf>
    <xf numFmtId="9" fontId="0" fillId="0" borderId="2" xfId="2" applyFont="1" applyFill="1" applyBorder="1" applyAlignment="1">
      <alignment horizontal="right" vertical="center" wrapText="1"/>
    </xf>
    <xf numFmtId="168" fontId="0" fillId="0" borderId="2" xfId="0" applyNumberFormat="1" applyBorder="1" applyAlignment="1">
      <alignment horizontal="right" vertical="center" wrapText="1"/>
    </xf>
    <xf numFmtId="49" fontId="43" fillId="0" borderId="2" xfId="0" applyNumberFormat="1" applyFont="1" applyBorder="1" applyAlignment="1">
      <alignment horizontal="right"/>
    </xf>
    <xf numFmtId="168" fontId="41" fillId="8" borderId="0" xfId="0" applyNumberFormat="1" applyFont="1" applyFill="1"/>
    <xf numFmtId="0" fontId="0" fillId="0" borderId="14" xfId="0" applyBorder="1" applyAlignment="1">
      <alignment horizontal="center" vertical="center"/>
    </xf>
    <xf numFmtId="0" fontId="15" fillId="0" borderId="1" xfId="0" applyFont="1" applyBorder="1" applyAlignment="1">
      <alignment horizontal="center" vertical="center" wrapText="1"/>
    </xf>
    <xf numFmtId="166" fontId="20" fillId="0" borderId="2" xfId="9" applyFont="1" applyFill="1" applyBorder="1"/>
    <xf numFmtId="0" fontId="0" fillId="0" borderId="9" xfId="0"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13" fillId="0" borderId="2" xfId="0" applyFont="1" applyBorder="1" applyAlignment="1">
      <alignment wrapText="1"/>
    </xf>
    <xf numFmtId="0" fontId="13" fillId="0" borderId="2" xfId="0" applyFont="1" applyBorder="1" applyAlignment="1">
      <alignment vertical="top" wrapText="1"/>
    </xf>
    <xf numFmtId="0" fontId="0" fillId="0" borderId="10" xfId="0" applyBorder="1" applyAlignment="1">
      <alignment horizontal="center" vertical="center"/>
    </xf>
    <xf numFmtId="0" fontId="32" fillId="0" borderId="7" xfId="0" applyFont="1" applyBorder="1"/>
    <xf numFmtId="0" fontId="32" fillId="0" borderId="8" xfId="0" applyFont="1" applyBorder="1"/>
    <xf numFmtId="49" fontId="44" fillId="0" borderId="2" xfId="0" applyNumberFormat="1" applyFont="1" applyBorder="1" applyAlignment="1">
      <alignment horizontal="right"/>
    </xf>
    <xf numFmtId="0" fontId="0" fillId="0" borderId="14" xfId="0" applyBorder="1" applyAlignment="1">
      <alignment horizontal="center" vertical="center" wrapText="1"/>
    </xf>
    <xf numFmtId="0" fontId="32" fillId="0" borderId="1" xfId="0" applyFont="1" applyBorder="1" applyAlignment="1">
      <alignment horizontal="center" vertical="center" wrapText="1"/>
    </xf>
    <xf numFmtId="0" fontId="0" fillId="0" borderId="2" xfId="0" applyBorder="1" applyAlignment="1">
      <alignment wrapText="1"/>
    </xf>
    <xf numFmtId="0" fontId="32" fillId="0" borderId="4" xfId="0" applyFont="1" applyBorder="1" applyAlignment="1">
      <alignment horizontal="center" vertical="center" wrapText="1"/>
    </xf>
    <xf numFmtId="0" fontId="45" fillId="0" borderId="2" xfId="0" applyFont="1" applyBorder="1"/>
    <xf numFmtId="0" fontId="13" fillId="0" borderId="2" xfId="0" applyFont="1" applyBorder="1" applyAlignment="1">
      <alignment horizontal="left"/>
    </xf>
    <xf numFmtId="166" fontId="15" fillId="0" borderId="2" xfId="9" applyFont="1" applyFill="1" applyBorder="1"/>
    <xf numFmtId="0" fontId="0" fillId="0" borderId="2" xfId="9" applyNumberFormat="1" applyFont="1" applyFill="1" applyBorder="1"/>
    <xf numFmtId="169" fontId="15" fillId="0" borderId="2" xfId="0" applyNumberFormat="1" applyFont="1" applyBorder="1"/>
    <xf numFmtId="49" fontId="31" fillId="0" borderId="8" xfId="0" applyNumberFormat="1" applyFont="1" applyBorder="1" applyAlignment="1">
      <alignment horizontal="right"/>
    </xf>
    <xf numFmtId="49" fontId="44" fillId="0" borderId="8" xfId="0" applyNumberFormat="1" applyFont="1" applyBorder="1" applyAlignment="1">
      <alignment horizontal="right"/>
    </xf>
    <xf numFmtId="166" fontId="15" fillId="0" borderId="8" xfId="0" applyNumberFormat="1" applyFont="1" applyBorder="1"/>
    <xf numFmtId="49" fontId="31" fillId="0" borderId="2" xfId="0" applyNumberFormat="1" applyFont="1" applyBorder="1" applyAlignment="1">
      <alignment horizontal="right" vertical="center"/>
    </xf>
    <xf numFmtId="166" fontId="0" fillId="0" borderId="2" xfId="9" applyFont="1" applyFill="1" applyBorder="1" applyAlignment="1">
      <alignment vertical="center"/>
    </xf>
    <xf numFmtId="0" fontId="0" fillId="0" borderId="2" xfId="9" applyNumberFormat="1" applyFont="1" applyFill="1" applyBorder="1" applyAlignment="1">
      <alignment vertical="center"/>
    </xf>
    <xf numFmtId="49" fontId="31" fillId="0" borderId="2" xfId="0" applyNumberFormat="1" applyFont="1" applyBorder="1" applyAlignment="1">
      <alignment horizontal="right" wrapText="1"/>
    </xf>
    <xf numFmtId="0" fontId="0" fillId="0" borderId="2" xfId="0" applyBorder="1" applyAlignment="1">
      <alignment horizontal="left" vertical="top" wrapText="1"/>
    </xf>
    <xf numFmtId="0" fontId="15" fillId="0" borderId="8" xfId="0" applyFont="1" applyBorder="1" applyAlignment="1">
      <alignment vertical="center"/>
    </xf>
    <xf numFmtId="0" fontId="36" fillId="0" borderId="2" xfId="0" applyFont="1" applyBorder="1"/>
    <xf numFmtId="166" fontId="10" fillId="8" borderId="2" xfId="9" applyFont="1" applyFill="1" applyBorder="1" applyAlignment="1">
      <alignment vertical="center"/>
    </xf>
    <xf numFmtId="166" fontId="10" fillId="8" borderId="6" xfId="9" applyFont="1" applyFill="1" applyBorder="1" applyAlignment="1">
      <alignment vertical="center"/>
    </xf>
    <xf numFmtId="166" fontId="10" fillId="0" borderId="6" xfId="9" applyFont="1" applyFill="1" applyBorder="1" applyAlignment="1">
      <alignment vertical="center"/>
    </xf>
    <xf numFmtId="166" fontId="36" fillId="0" borderId="0" xfId="0" applyNumberFormat="1" applyFont="1"/>
    <xf numFmtId="0" fontId="22" fillId="0" borderId="0" xfId="0" applyFont="1" applyAlignment="1">
      <alignment vertical="center"/>
    </xf>
    <xf numFmtId="0" fontId="48" fillId="0" borderId="2" xfId="0" applyFont="1" applyBorder="1" applyAlignment="1">
      <alignment vertical="center" wrapText="1"/>
    </xf>
    <xf numFmtId="0" fontId="49" fillId="0" borderId="2" xfId="0" applyFont="1" applyBorder="1" applyAlignment="1">
      <alignment horizontal="center" vertical="center" wrapText="1"/>
    </xf>
    <xf numFmtId="0" fontId="22" fillId="0" borderId="2" xfId="0" applyFont="1" applyBorder="1" applyAlignment="1">
      <alignment horizontal="center" vertical="center"/>
    </xf>
    <xf numFmtId="0" fontId="31" fillId="0" borderId="0" xfId="0" applyFont="1" applyAlignment="1">
      <alignment horizontal="center" vertical="center"/>
    </xf>
    <xf numFmtId="0" fontId="48" fillId="3" borderId="2" xfId="3" applyNumberFormat="1" applyFont="1" applyFill="1" applyBorder="1" applyAlignment="1">
      <alignment horizontal="center" vertical="center" wrapText="1"/>
    </xf>
    <xf numFmtId="0" fontId="48" fillId="3" borderId="2" xfId="0" applyFont="1" applyFill="1" applyBorder="1" applyAlignment="1">
      <alignment vertical="center" wrapText="1"/>
    </xf>
    <xf numFmtId="0" fontId="50" fillId="0" borderId="2" xfId="0" applyFont="1" applyBorder="1" applyAlignment="1">
      <alignment horizontal="left" vertical="center" wrapText="1"/>
    </xf>
    <xf numFmtId="0" fontId="48" fillId="4" borderId="2" xfId="3" applyNumberFormat="1" applyFont="1" applyFill="1" applyBorder="1" applyAlignment="1">
      <alignment horizontal="center" vertical="center" wrapText="1"/>
    </xf>
    <xf numFmtId="0" fontId="48" fillId="4" borderId="2" xfId="0" applyFont="1" applyFill="1" applyBorder="1" applyAlignment="1">
      <alignmen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48" fillId="2" borderId="6" xfId="3" applyNumberFormat="1" applyFont="1" applyFill="1" applyBorder="1" applyAlignment="1">
      <alignment horizontal="center" vertical="center" wrapText="1"/>
    </xf>
    <xf numFmtId="0" fontId="48" fillId="2" borderId="7" xfId="3" applyNumberFormat="1" applyFont="1" applyFill="1" applyBorder="1" applyAlignment="1">
      <alignment horizontal="center" vertical="center" wrapText="1"/>
    </xf>
    <xf numFmtId="0" fontId="48" fillId="2" borderId="8" xfId="3" applyNumberFormat="1" applyFont="1" applyFill="1" applyBorder="1" applyAlignment="1">
      <alignment horizontal="center" vertical="center" wrapText="1"/>
    </xf>
    <xf numFmtId="0" fontId="48" fillId="2" borderId="1" xfId="0" applyFont="1" applyFill="1" applyBorder="1" applyAlignment="1">
      <alignment horizontal="center" vertical="center" wrapText="1"/>
    </xf>
    <xf numFmtId="49" fontId="48" fillId="2" borderId="1" xfId="0" applyNumberFormat="1" applyFont="1" applyFill="1" applyBorder="1" applyAlignment="1">
      <alignment horizontal="center" vertical="center" wrapText="1"/>
    </xf>
    <xf numFmtId="0" fontId="48" fillId="2" borderId="1" xfId="0" applyFont="1" applyFill="1" applyBorder="1" applyAlignment="1">
      <alignment horizontal="left" vertical="center" wrapText="1"/>
    </xf>
    <xf numFmtId="4" fontId="48" fillId="2" borderId="1" xfId="0" applyNumberFormat="1" applyFont="1" applyFill="1" applyBorder="1" applyAlignment="1">
      <alignment horizontal="center" vertical="center" wrapText="1"/>
    </xf>
    <xf numFmtId="4" fontId="48" fillId="2" borderId="12" xfId="0" applyNumberFormat="1" applyFont="1" applyFill="1" applyBorder="1" applyAlignment="1">
      <alignment horizontal="center" vertical="center" wrapText="1"/>
    </xf>
    <xf numFmtId="4" fontId="48" fillId="2" borderId="14" xfId="0" applyNumberFormat="1" applyFont="1" applyFill="1" applyBorder="1" applyAlignment="1">
      <alignment horizontal="center" vertical="center" wrapText="1"/>
    </xf>
    <xf numFmtId="0" fontId="48" fillId="2" borderId="2" xfId="3" applyNumberFormat="1" applyFont="1" applyFill="1" applyBorder="1" applyAlignment="1">
      <alignment horizontal="center" vertical="center" wrapText="1"/>
    </xf>
    <xf numFmtId="0" fontId="48" fillId="2" borderId="4" xfId="0" applyFont="1" applyFill="1" applyBorder="1" applyAlignment="1">
      <alignment horizontal="center" vertical="center" wrapText="1"/>
    </xf>
    <xf numFmtId="49" fontId="48" fillId="2" borderId="4"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4" fontId="48" fillId="2" borderId="4" xfId="0" applyNumberFormat="1" applyFont="1" applyFill="1" applyBorder="1" applyAlignment="1">
      <alignment horizontal="center" vertical="center" wrapText="1"/>
    </xf>
    <xf numFmtId="4" fontId="48" fillId="2" borderId="4" xfId="0" applyNumberFormat="1" applyFont="1" applyFill="1" applyBorder="1" applyAlignment="1">
      <alignment horizontal="center" vertical="center" wrapText="1"/>
    </xf>
    <xf numFmtId="10" fontId="48" fillId="2" borderId="2" xfId="2" applyNumberFormat="1" applyFont="1" applyFill="1" applyBorder="1" applyAlignment="1">
      <alignment horizontal="center" vertical="center" wrapText="1"/>
    </xf>
    <xf numFmtId="166" fontId="48" fillId="2" borderId="2" xfId="0" applyNumberFormat="1" applyFont="1" applyFill="1" applyBorder="1" applyAlignment="1">
      <alignment horizontal="center" vertical="center" wrapText="1"/>
    </xf>
    <xf numFmtId="0" fontId="22" fillId="13" borderId="9" xfId="0" applyFont="1" applyFill="1" applyBorder="1" applyAlignment="1">
      <alignment horizontal="center" vertical="center" textRotation="90"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2" xfId="0" applyFont="1" applyFill="1" applyBorder="1" applyAlignment="1">
      <alignment horizontal="left" vertical="center" wrapText="1"/>
    </xf>
    <xf numFmtId="164" fontId="4" fillId="13" borderId="2" xfId="1" applyFont="1" applyFill="1" applyBorder="1" applyAlignment="1">
      <alignment vertical="center"/>
    </xf>
    <xf numFmtId="9" fontId="22" fillId="13" borderId="2" xfId="0" applyNumberFormat="1" applyFont="1" applyFill="1" applyBorder="1" applyAlignment="1">
      <alignment horizontal="center" vertical="center"/>
    </xf>
    <xf numFmtId="9" fontId="4" fillId="13" borderId="2" xfId="0" applyNumberFormat="1" applyFont="1" applyFill="1" applyBorder="1" applyAlignment="1">
      <alignment horizontal="center" vertical="center"/>
    </xf>
    <xf numFmtId="164" fontId="4" fillId="13" borderId="2" xfId="1" applyFont="1" applyFill="1" applyBorder="1" applyAlignment="1">
      <alignment horizontal="center" vertical="center"/>
    </xf>
    <xf numFmtId="0" fontId="31" fillId="0" borderId="0" xfId="0" applyFont="1" applyAlignment="1">
      <alignment vertical="center"/>
    </xf>
    <xf numFmtId="0" fontId="4" fillId="13" borderId="3"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22" fillId="13" borderId="2" xfId="0" applyFont="1" applyFill="1" applyBorder="1" applyAlignment="1">
      <alignment horizontal="center" vertical="center"/>
    </xf>
    <xf numFmtId="0" fontId="22" fillId="13" borderId="2" xfId="0" applyFont="1" applyFill="1" applyBorder="1" applyAlignment="1">
      <alignment horizontal="left" vertical="center"/>
    </xf>
    <xf numFmtId="0" fontId="4" fillId="13" borderId="2" xfId="0" applyFont="1" applyFill="1" applyBorder="1" applyAlignment="1">
      <alignment horizontal="center" vertical="center" wrapText="1"/>
    </xf>
    <xf numFmtId="0" fontId="4" fillId="13" borderId="2" xfId="0" applyFont="1" applyFill="1" applyBorder="1" applyAlignment="1">
      <alignment horizontal="center" vertical="center"/>
    </xf>
    <xf numFmtId="0" fontId="4" fillId="13" borderId="2" xfId="0" applyFont="1" applyFill="1" applyBorder="1" applyAlignment="1">
      <alignment horizontal="left" vertical="center"/>
    </xf>
    <xf numFmtId="0" fontId="22" fillId="13" borderId="2" xfId="0" applyFont="1" applyFill="1" applyBorder="1" applyAlignment="1">
      <alignment horizontal="center" vertical="center" wrapText="1"/>
    </xf>
    <xf numFmtId="0" fontId="22" fillId="13" borderId="2" xfId="0" applyFont="1" applyFill="1" applyBorder="1" applyAlignment="1">
      <alignment horizontal="left" vertical="center" wrapText="1"/>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center" vertical="center"/>
    </xf>
    <xf numFmtId="0" fontId="22" fillId="0" borderId="9" xfId="0" applyFont="1" applyBorder="1" applyAlignment="1">
      <alignment vertical="center" textRotation="90" wrapText="1"/>
    </xf>
    <xf numFmtId="0" fontId="4" fillId="0" borderId="2" xfId="0" applyFont="1" applyBorder="1" applyAlignment="1">
      <alignment vertical="center" wrapText="1"/>
    </xf>
    <xf numFmtId="0" fontId="4" fillId="0" borderId="2" xfId="0" applyFont="1" applyBorder="1" applyAlignment="1">
      <alignment horizontal="right" vertical="center" wrapText="1"/>
    </xf>
    <xf numFmtId="164" fontId="49" fillId="5" borderId="2" xfId="0" applyNumberFormat="1" applyFont="1" applyFill="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164" fontId="23" fillId="0" borderId="2" xfId="1" applyFont="1" applyFill="1" applyBorder="1" applyAlignment="1">
      <alignment vertical="center"/>
    </xf>
    <xf numFmtId="9" fontId="22" fillId="0" borderId="2" xfId="0" applyNumberFormat="1" applyFont="1" applyBorder="1" applyAlignment="1">
      <alignment horizontal="center" vertical="center"/>
    </xf>
    <xf numFmtId="0" fontId="22" fillId="14" borderId="9" xfId="0" applyFont="1" applyFill="1" applyBorder="1" applyAlignment="1">
      <alignment horizontal="center" vertical="center" textRotation="90" wrapText="1"/>
    </xf>
    <xf numFmtId="0" fontId="4" fillId="14" borderId="1" xfId="0" applyFont="1" applyFill="1" applyBorder="1" applyAlignment="1">
      <alignment horizontal="center" vertical="center" wrapText="1"/>
    </xf>
    <xf numFmtId="0" fontId="22" fillId="14" borderId="2"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14" borderId="2" xfId="0" applyFont="1" applyFill="1" applyBorder="1" applyAlignment="1">
      <alignment horizontal="center" vertical="center"/>
    </xf>
    <xf numFmtId="0" fontId="4" fillId="14" borderId="2" xfId="0" applyFont="1" applyFill="1" applyBorder="1" applyAlignment="1">
      <alignment horizontal="left" vertical="center" wrapText="1"/>
    </xf>
    <xf numFmtId="164" fontId="4" fillId="14" borderId="2" xfId="1" applyFont="1" applyFill="1" applyBorder="1" applyAlignment="1">
      <alignment vertical="center"/>
    </xf>
    <xf numFmtId="9" fontId="22" fillId="14" borderId="2" xfId="0" applyNumberFormat="1" applyFont="1" applyFill="1" applyBorder="1" applyAlignment="1">
      <alignment horizontal="center" vertical="center"/>
    </xf>
    <xf numFmtId="9" fontId="4" fillId="14" borderId="2" xfId="0" applyNumberFormat="1" applyFont="1" applyFill="1" applyBorder="1" applyAlignment="1">
      <alignment horizontal="center" vertical="center"/>
    </xf>
    <xf numFmtId="164" fontId="4" fillId="14" borderId="2" xfId="1" applyFont="1" applyFill="1" applyBorder="1" applyAlignment="1">
      <alignment horizontal="center" vertical="center"/>
    </xf>
    <xf numFmtId="0" fontId="4" fillId="14" borderId="3"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4" fillId="14" borderId="2" xfId="0" applyFont="1" applyFill="1" applyBorder="1" applyAlignment="1">
      <alignment horizontal="left" vertical="center"/>
    </xf>
    <xf numFmtId="164" fontId="22" fillId="14" borderId="2" xfId="0" applyNumberFormat="1" applyFont="1" applyFill="1" applyBorder="1" applyAlignment="1">
      <alignment vertical="center"/>
    </xf>
    <xf numFmtId="0" fontId="22" fillId="14" borderId="2" xfId="0" applyFont="1" applyFill="1" applyBorder="1" applyAlignment="1">
      <alignment horizontal="left" vertical="center" wrapText="1"/>
    </xf>
    <xf numFmtId="164" fontId="22" fillId="14" borderId="2" xfId="1" applyFont="1" applyFill="1" applyBorder="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0" fontId="22" fillId="14" borderId="2" xfId="0" applyFont="1" applyFill="1" applyBorder="1" applyAlignment="1">
      <alignment horizontal="left" vertical="center"/>
    </xf>
    <xf numFmtId="164" fontId="6" fillId="14" borderId="2" xfId="7" applyNumberFormat="1" applyFont="1" applyFill="1" applyBorder="1" applyAlignment="1">
      <alignment horizontal="center" vertical="center"/>
    </xf>
    <xf numFmtId="0" fontId="22" fillId="14" borderId="4" xfId="0" applyFont="1" applyFill="1" applyBorder="1" applyAlignment="1">
      <alignment horizontal="center" vertical="center" wrapText="1"/>
    </xf>
    <xf numFmtId="0" fontId="4" fillId="14" borderId="4" xfId="0" applyFont="1" applyFill="1" applyBorder="1" applyAlignment="1">
      <alignment horizontal="center" vertical="center" wrapText="1"/>
    </xf>
    <xf numFmtId="164" fontId="23" fillId="5" borderId="4" xfId="0" applyNumberFormat="1" applyFont="1" applyFill="1" applyBorder="1" applyAlignment="1">
      <alignment horizontal="center" vertical="center"/>
    </xf>
    <xf numFmtId="164" fontId="23" fillId="5" borderId="3" xfId="0" applyNumberFormat="1" applyFont="1" applyFill="1" applyBorder="1" applyAlignment="1">
      <alignment horizontal="center" vertical="center"/>
    </xf>
    <xf numFmtId="0" fontId="22" fillId="0" borderId="3" xfId="0" applyFont="1" applyBorder="1" applyAlignment="1">
      <alignment horizontal="center" vertical="center"/>
    </xf>
    <xf numFmtId="0" fontId="4" fillId="0" borderId="2" xfId="0" applyFont="1" applyBorder="1" applyAlignment="1">
      <alignment vertical="center"/>
    </xf>
    <xf numFmtId="0" fontId="22" fillId="15" borderId="9" xfId="0" applyFont="1" applyFill="1" applyBorder="1" applyAlignment="1">
      <alignment horizontal="center" vertical="center" textRotation="90" wrapText="1"/>
    </xf>
    <xf numFmtId="0" fontId="6" fillId="15" borderId="1" xfId="7" applyFont="1" applyFill="1" applyBorder="1" applyAlignment="1">
      <alignment horizontal="center" vertical="center"/>
    </xf>
    <xf numFmtId="0" fontId="4" fillId="15" borderId="1" xfId="0" applyFont="1" applyFill="1" applyBorder="1" applyAlignment="1">
      <alignment horizontal="center" vertical="center" wrapText="1"/>
    </xf>
    <xf numFmtId="0" fontId="6" fillId="15" borderId="2" xfId="7" applyFont="1" applyFill="1" applyBorder="1" applyAlignment="1">
      <alignment horizontal="center" vertical="center"/>
    </xf>
    <xf numFmtId="0" fontId="6" fillId="15" borderId="2" xfId="7" applyFont="1" applyFill="1" applyBorder="1" applyAlignment="1">
      <alignment horizontal="left" vertical="center" wrapText="1"/>
    </xf>
    <xf numFmtId="164" fontId="6" fillId="15" borderId="2" xfId="7" applyNumberFormat="1" applyFont="1" applyFill="1" applyBorder="1" applyAlignment="1">
      <alignment horizontal="center" vertical="center"/>
    </xf>
    <xf numFmtId="9" fontId="51" fillId="15" borderId="2" xfId="7" applyNumberFormat="1" applyFont="1" applyFill="1" applyBorder="1" applyAlignment="1">
      <alignment horizontal="center" vertical="center"/>
    </xf>
    <xf numFmtId="9" fontId="4" fillId="15" borderId="2" xfId="0" applyNumberFormat="1" applyFont="1" applyFill="1" applyBorder="1" applyAlignment="1">
      <alignment horizontal="center" vertical="center"/>
    </xf>
    <xf numFmtId="164" fontId="4" fillId="15" borderId="2" xfId="1" applyFont="1" applyFill="1" applyBorder="1" applyAlignment="1">
      <alignment horizontal="center" vertical="center"/>
    </xf>
    <xf numFmtId="0" fontId="6" fillId="15" borderId="3" xfId="7" applyFont="1" applyFill="1" applyBorder="1" applyAlignment="1">
      <alignment horizontal="center" vertical="center"/>
    </xf>
    <xf numFmtId="0" fontId="4" fillId="15" borderId="3" xfId="0" applyFont="1" applyFill="1" applyBorder="1" applyAlignment="1">
      <alignment horizontal="center" vertical="center" wrapText="1"/>
    </xf>
    <xf numFmtId="0" fontId="6" fillId="15" borderId="2" xfId="7" applyFont="1" applyFill="1" applyBorder="1" applyAlignment="1">
      <alignment horizontal="left" vertical="center"/>
    </xf>
    <xf numFmtId="0" fontId="6" fillId="15" borderId="3" xfId="7" applyFont="1" applyFill="1" applyBorder="1" applyAlignment="1">
      <alignment horizontal="center" vertical="center"/>
    </xf>
    <xf numFmtId="0" fontId="4" fillId="15" borderId="4" xfId="0" applyFont="1" applyFill="1" applyBorder="1" applyAlignment="1">
      <alignment horizontal="center" vertical="center" wrapText="1"/>
    </xf>
    <xf numFmtId="0" fontId="6" fillId="15" borderId="2" xfId="7" applyFont="1" applyFill="1" applyBorder="1" applyAlignment="1">
      <alignment horizontal="center" vertical="center" wrapText="1"/>
    </xf>
    <xf numFmtId="0" fontId="22" fillId="15" borderId="10" xfId="0" applyFont="1" applyFill="1" applyBorder="1" applyAlignment="1">
      <alignment horizontal="center" vertical="center" textRotation="90"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164" fontId="23" fillId="5" borderId="2" xfId="0" applyNumberFormat="1" applyFont="1" applyFill="1" applyBorder="1" applyAlignment="1">
      <alignment horizontal="center" vertical="center" wrapText="1"/>
    </xf>
    <xf numFmtId="0" fontId="51" fillId="0" borderId="2" xfId="7" applyFont="1" applyFill="1" applyBorder="1" applyAlignment="1">
      <alignment horizontal="center" vertical="center" wrapText="1"/>
    </xf>
    <xf numFmtId="0" fontId="51" fillId="0" borderId="2" xfId="7" applyFont="1" applyFill="1" applyBorder="1" applyAlignment="1">
      <alignment horizontal="center" vertical="center"/>
    </xf>
    <xf numFmtId="0" fontId="22" fillId="16" borderId="14" xfId="0" applyFont="1" applyFill="1" applyBorder="1" applyAlignment="1">
      <alignment horizontal="center" vertical="center" textRotation="90" wrapText="1"/>
    </xf>
    <xf numFmtId="0" fontId="22" fillId="16" borderId="1" xfId="0" applyFont="1" applyFill="1" applyBorder="1" applyAlignment="1">
      <alignment horizontal="center" vertical="center" wrapText="1"/>
    </xf>
    <xf numFmtId="0" fontId="22" fillId="16" borderId="2" xfId="0" applyFont="1" applyFill="1" applyBorder="1" applyAlignment="1">
      <alignment horizontal="center" vertical="center"/>
    </xf>
    <xf numFmtId="0" fontId="22" fillId="16" borderId="2" xfId="0" applyFont="1" applyFill="1" applyBorder="1" applyAlignment="1">
      <alignment horizontal="left" vertical="center"/>
    </xf>
    <xf numFmtId="0" fontId="22" fillId="16" borderId="2" xfId="0" applyFont="1" applyFill="1" applyBorder="1" applyAlignment="1">
      <alignment horizontal="center" vertical="center"/>
    </xf>
    <xf numFmtId="0" fontId="22" fillId="16" borderId="2" xfId="0" applyFont="1" applyFill="1" applyBorder="1" applyAlignment="1">
      <alignment horizontal="left" vertical="center" wrapText="1"/>
    </xf>
    <xf numFmtId="164" fontId="4" fillId="16" borderId="2" xfId="1" applyFont="1" applyFill="1" applyBorder="1" applyAlignment="1">
      <alignment vertical="center"/>
    </xf>
    <xf numFmtId="9" fontId="22" fillId="16" borderId="2" xfId="0" applyNumberFormat="1" applyFont="1" applyFill="1" applyBorder="1" applyAlignment="1">
      <alignment horizontal="center" vertical="center"/>
    </xf>
    <xf numFmtId="9" fontId="4" fillId="16" borderId="2" xfId="0" applyNumberFormat="1" applyFont="1" applyFill="1" applyBorder="1" applyAlignment="1">
      <alignment horizontal="center" vertical="center"/>
    </xf>
    <xf numFmtId="164" fontId="4" fillId="16" borderId="2" xfId="1" applyFont="1" applyFill="1" applyBorder="1" applyAlignment="1">
      <alignment horizontal="center" vertical="center"/>
    </xf>
    <xf numFmtId="0" fontId="22" fillId="16" borderId="9" xfId="0" applyFont="1" applyFill="1" applyBorder="1" applyAlignment="1">
      <alignment horizontal="center" vertical="center" textRotation="90" wrapText="1"/>
    </xf>
    <xf numFmtId="0" fontId="22" fillId="16" borderId="3" xfId="0" applyFont="1" applyFill="1" applyBorder="1" applyAlignment="1">
      <alignment horizontal="center" vertical="center" wrapText="1"/>
    </xf>
    <xf numFmtId="0" fontId="22" fillId="16" borderId="2" xfId="0" applyFont="1" applyFill="1" applyBorder="1" applyAlignment="1">
      <alignment vertical="center" wrapText="1"/>
    </xf>
    <xf numFmtId="0" fontId="22" fillId="16" borderId="4" xfId="0" applyFont="1" applyFill="1" applyBorder="1" applyAlignment="1">
      <alignment horizontal="center" vertical="center" wrapText="1"/>
    </xf>
    <xf numFmtId="0" fontId="22" fillId="16" borderId="1" xfId="0" applyFont="1" applyFill="1" applyBorder="1" applyAlignment="1">
      <alignment horizontal="left" vertical="center" wrapText="1"/>
    </xf>
    <xf numFmtId="0" fontId="4" fillId="16" borderId="2" xfId="0" applyFont="1" applyFill="1" applyBorder="1" applyAlignment="1">
      <alignment vertical="center" wrapText="1"/>
    </xf>
    <xf numFmtId="0" fontId="22" fillId="16" borderId="2" xfId="0" applyFont="1" applyFill="1" applyBorder="1" applyAlignment="1">
      <alignment horizontal="center" vertical="center" wrapText="1"/>
    </xf>
    <xf numFmtId="0" fontId="22" fillId="16" borderId="1" xfId="0" applyFont="1" applyFill="1" applyBorder="1" applyAlignment="1">
      <alignment horizontal="center" vertical="center"/>
    </xf>
    <xf numFmtId="0" fontId="22" fillId="16" borderId="2" xfId="0" applyFont="1" applyFill="1" applyBorder="1" applyAlignment="1">
      <alignment horizontal="left" vertical="center"/>
    </xf>
    <xf numFmtId="0" fontId="22" fillId="16" borderId="3" xfId="0" applyFont="1" applyFill="1" applyBorder="1" applyAlignment="1">
      <alignment horizontal="center" vertical="center"/>
    </xf>
    <xf numFmtId="0" fontId="22" fillId="16" borderId="4" xfId="0" applyFont="1" applyFill="1" applyBorder="1" applyAlignment="1">
      <alignment horizontal="center" vertical="center"/>
    </xf>
    <xf numFmtId="0" fontId="4" fillId="16" borderId="2" xfId="0" applyFont="1" applyFill="1" applyBorder="1" applyAlignment="1">
      <alignment horizontal="center" vertical="center"/>
    </xf>
    <xf numFmtId="0" fontId="4" fillId="16" borderId="2" xfId="0" applyFont="1" applyFill="1" applyBorder="1" applyAlignment="1">
      <alignment horizontal="left" vertical="center"/>
    </xf>
    <xf numFmtId="0" fontId="4" fillId="16" borderId="1" xfId="0" applyFont="1" applyFill="1" applyBorder="1" applyAlignment="1">
      <alignment horizontal="center" vertical="center" wrapText="1"/>
    </xf>
    <xf numFmtId="164" fontId="6" fillId="16" borderId="2" xfId="1" applyFont="1" applyFill="1" applyBorder="1" applyAlignment="1">
      <alignment vertical="center"/>
    </xf>
    <xf numFmtId="0" fontId="4" fillId="16" borderId="3"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4" fillId="16" borderId="2" xfId="0" applyFont="1" applyFill="1" applyBorder="1" applyAlignment="1">
      <alignment horizontal="left" vertical="center" wrapText="1"/>
    </xf>
    <xf numFmtId="0" fontId="6" fillId="16" borderId="2" xfId="0" applyFont="1" applyFill="1" applyBorder="1" applyAlignment="1">
      <alignment horizontal="center" vertical="center"/>
    </xf>
    <xf numFmtId="0" fontId="6" fillId="16" borderId="2" xfId="0" applyFont="1" applyFill="1" applyBorder="1" applyAlignment="1">
      <alignment horizontal="left" vertical="center" wrapText="1"/>
    </xf>
    <xf numFmtId="0" fontId="4" fillId="16" borderId="2" xfId="0" applyFont="1" applyFill="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23" fillId="5" borderId="7" xfId="0" applyFont="1" applyFill="1" applyBorder="1" applyAlignment="1">
      <alignment vertical="center" wrapText="1"/>
    </xf>
    <xf numFmtId="0" fontId="4" fillId="0" borderId="8" xfId="0" applyFont="1" applyBorder="1" applyAlignment="1">
      <alignment vertical="center" wrapText="1"/>
    </xf>
    <xf numFmtId="0" fontId="22" fillId="17" borderId="14" xfId="0" applyFont="1" applyFill="1" applyBorder="1" applyAlignment="1">
      <alignment horizontal="center" vertical="center" textRotation="90" wrapText="1"/>
    </xf>
    <xf numFmtId="0" fontId="22" fillId="17" borderId="2"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17" borderId="1" xfId="0" applyFont="1" applyFill="1" applyBorder="1" applyAlignment="1">
      <alignment horizontal="center" vertical="center"/>
    </xf>
    <xf numFmtId="0" fontId="22" fillId="17" borderId="2" xfId="0" applyFont="1" applyFill="1" applyBorder="1" applyAlignment="1">
      <alignment horizontal="center" vertical="center"/>
    </xf>
    <xf numFmtId="0" fontId="22" fillId="17" borderId="2" xfId="0" applyFont="1" applyFill="1" applyBorder="1" applyAlignment="1">
      <alignment horizontal="left" vertical="center" wrapText="1"/>
    </xf>
    <xf numFmtId="164" fontId="22" fillId="17" borderId="2" xfId="1" applyFont="1" applyFill="1" applyBorder="1" applyAlignment="1">
      <alignment vertical="center" wrapText="1"/>
    </xf>
    <xf numFmtId="9" fontId="4" fillId="17" borderId="2" xfId="2" applyFont="1" applyFill="1" applyBorder="1" applyAlignment="1">
      <alignment horizontal="center" vertical="center"/>
    </xf>
    <xf numFmtId="9" fontId="4" fillId="17" borderId="2" xfId="0" applyNumberFormat="1" applyFont="1" applyFill="1" applyBorder="1" applyAlignment="1">
      <alignment horizontal="center" vertical="center"/>
    </xf>
    <xf numFmtId="164" fontId="4" fillId="17" borderId="2" xfId="1" applyFont="1" applyFill="1" applyBorder="1" applyAlignment="1">
      <alignment vertical="center"/>
    </xf>
    <xf numFmtId="0" fontId="22" fillId="17" borderId="9" xfId="0" applyFont="1" applyFill="1" applyBorder="1" applyAlignment="1">
      <alignment horizontal="center" vertical="center" textRotation="90" wrapText="1"/>
    </xf>
    <xf numFmtId="0" fontId="22" fillId="17" borderId="3" xfId="0" applyFont="1" applyFill="1" applyBorder="1" applyAlignment="1">
      <alignment horizontal="center" vertical="center" wrapText="1"/>
    </xf>
    <xf numFmtId="0" fontId="22" fillId="17" borderId="3" xfId="0" applyFont="1" applyFill="1" applyBorder="1" applyAlignment="1">
      <alignment horizontal="center" vertical="center"/>
    </xf>
    <xf numFmtId="0" fontId="22" fillId="17" borderId="2" xfId="0" applyFont="1" applyFill="1" applyBorder="1" applyAlignment="1">
      <alignment horizontal="center" vertical="center" wrapText="1"/>
    </xf>
    <xf numFmtId="0" fontId="4" fillId="17" borderId="2" xfId="0" applyFont="1" applyFill="1" applyBorder="1" applyAlignment="1">
      <alignment horizontal="left" vertical="center" wrapText="1"/>
    </xf>
    <xf numFmtId="0" fontId="22" fillId="17" borderId="4" xfId="0" applyFont="1" applyFill="1" applyBorder="1" applyAlignment="1">
      <alignment horizontal="center" vertical="center" wrapText="1"/>
    </xf>
    <xf numFmtId="0" fontId="22" fillId="17" borderId="4" xfId="0" applyFont="1" applyFill="1" applyBorder="1" applyAlignment="1">
      <alignment horizontal="center" vertical="center"/>
    </xf>
    <xf numFmtId="0" fontId="22" fillId="17" borderId="2" xfId="0" applyFont="1" applyFill="1" applyBorder="1" applyAlignment="1">
      <alignment vertical="center" wrapText="1"/>
    </xf>
    <xf numFmtId="0" fontId="4" fillId="17" borderId="1"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17" borderId="2" xfId="0" applyFont="1" applyFill="1" applyBorder="1" applyAlignment="1">
      <alignment horizontal="center" vertical="center"/>
    </xf>
    <xf numFmtId="164" fontId="4" fillId="17" borderId="2" xfId="1" applyFont="1" applyFill="1" applyBorder="1" applyAlignment="1">
      <alignment horizontal="center" vertical="center"/>
    </xf>
    <xf numFmtId="0" fontId="6" fillId="17" borderId="2" xfId="6" applyFont="1" applyFill="1" applyBorder="1" applyAlignment="1">
      <alignment horizontal="center" vertical="center"/>
    </xf>
    <xf numFmtId="0" fontId="6" fillId="17" borderId="2" xfId="6" applyFont="1" applyFill="1" applyBorder="1" applyAlignment="1">
      <alignment horizontal="left" vertical="center" wrapText="1"/>
    </xf>
    <xf numFmtId="0" fontId="4" fillId="17" borderId="2"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4" fillId="17" borderId="2" xfId="0" applyFont="1" applyFill="1" applyBorder="1" applyAlignment="1">
      <alignment horizontal="left" vertical="center"/>
    </xf>
    <xf numFmtId="0" fontId="4" fillId="17" borderId="1" xfId="0" applyFont="1" applyFill="1" applyBorder="1" applyAlignment="1">
      <alignment horizontal="left" vertical="center"/>
    </xf>
    <xf numFmtId="0" fontId="4" fillId="0" borderId="0" xfId="0" applyFont="1" applyAlignment="1">
      <alignment horizontal="left" vertical="center" wrapText="1"/>
    </xf>
    <xf numFmtId="164" fontId="49" fillId="5" borderId="0" xfId="0" applyNumberFormat="1" applyFont="1" applyFill="1" applyAlignment="1">
      <alignment horizontal="center" vertical="center"/>
    </xf>
    <xf numFmtId="0" fontId="22" fillId="0" borderId="0" xfId="0" applyFont="1" applyAlignment="1">
      <alignment horizontal="left" vertical="center"/>
    </xf>
    <xf numFmtId="164" fontId="7" fillId="8" borderId="0" xfId="0" applyNumberFormat="1" applyFont="1" applyFill="1" applyAlignment="1">
      <alignment horizontal="center" vertical="center"/>
    </xf>
    <xf numFmtId="0" fontId="31" fillId="0" borderId="0" xfId="0" applyFont="1" applyAlignment="1">
      <alignment horizontal="left" vertical="center"/>
    </xf>
    <xf numFmtId="4" fontId="52" fillId="0" borderId="0" xfId="0" applyNumberFormat="1" applyFont="1" applyAlignment="1">
      <alignment horizontal="center" vertical="center"/>
    </xf>
    <xf numFmtId="164" fontId="31" fillId="0" borderId="0" xfId="0" applyNumberFormat="1" applyFont="1" applyAlignment="1">
      <alignment horizontal="center" vertical="center"/>
    </xf>
    <xf numFmtId="4" fontId="0" fillId="0" borderId="0" xfId="0" applyNumberFormat="1" applyAlignment="1">
      <alignment horizontal="right"/>
    </xf>
    <xf numFmtId="4" fontId="9" fillId="2" borderId="12" xfId="0" applyNumberFormat="1" applyFont="1" applyFill="1" applyBorder="1" applyAlignment="1">
      <alignment horizontal="center" vertical="center" wrapText="1"/>
    </xf>
    <xf numFmtId="4" fontId="9" fillId="2" borderId="14" xfId="0" applyNumberFormat="1"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0" fontId="32" fillId="16" borderId="2" xfId="0" applyFont="1" applyFill="1" applyBorder="1" applyAlignment="1">
      <alignment horizontal="center" vertical="center" wrapText="1"/>
    </xf>
    <xf numFmtId="0" fontId="0" fillId="16" borderId="1" xfId="0" applyFill="1" applyBorder="1" applyAlignment="1">
      <alignment horizontal="center" vertical="center" wrapText="1"/>
    </xf>
    <xf numFmtId="0" fontId="53" fillId="16" borderId="2" xfId="0" applyFont="1" applyFill="1" applyBorder="1" applyAlignment="1">
      <alignment horizontal="center" vertical="center" wrapText="1"/>
    </xf>
    <xf numFmtId="0" fontId="54" fillId="16" borderId="1" xfId="0" applyFont="1" applyFill="1" applyBorder="1" applyAlignment="1">
      <alignment horizontal="center" vertical="center" wrapText="1"/>
    </xf>
    <xf numFmtId="170" fontId="0" fillId="16" borderId="2" xfId="0" applyNumberFormat="1" applyFill="1" applyBorder="1"/>
    <xf numFmtId="0" fontId="53" fillId="16" borderId="2" xfId="0" applyFont="1" applyFill="1" applyBorder="1"/>
    <xf numFmtId="4" fontId="0" fillId="16" borderId="2" xfId="1" applyNumberFormat="1" applyFont="1" applyFill="1" applyBorder="1" applyAlignment="1">
      <alignment horizontal="right"/>
    </xf>
    <xf numFmtId="9" fontId="54" fillId="16" borderId="2" xfId="2" applyFont="1" applyFill="1" applyBorder="1" applyAlignment="1">
      <alignment horizontal="center" vertical="center"/>
    </xf>
    <xf numFmtId="9" fontId="54" fillId="16" borderId="2" xfId="0" applyNumberFormat="1" applyFont="1" applyFill="1" applyBorder="1" applyAlignment="1">
      <alignment horizontal="center" vertical="center"/>
    </xf>
    <xf numFmtId="164" fontId="54" fillId="16" borderId="2" xfId="1" applyFont="1" applyFill="1" applyBorder="1" applyAlignment="1">
      <alignment vertical="center"/>
    </xf>
    <xf numFmtId="0" fontId="0" fillId="16" borderId="3" xfId="0" applyFill="1" applyBorder="1" applyAlignment="1">
      <alignment horizontal="center" vertical="center" wrapText="1"/>
    </xf>
    <xf numFmtId="0" fontId="54" fillId="16" borderId="3" xfId="0" applyFont="1" applyFill="1" applyBorder="1" applyAlignment="1">
      <alignment horizontal="center" vertical="center" wrapText="1"/>
    </xf>
    <xf numFmtId="0" fontId="0" fillId="18" borderId="0" xfId="0" applyFill="1"/>
    <xf numFmtId="0" fontId="0" fillId="5" borderId="0" xfId="0" applyFill="1"/>
    <xf numFmtId="0" fontId="54" fillId="16" borderId="2" xfId="0" applyFont="1" applyFill="1" applyBorder="1" applyAlignment="1">
      <alignment horizontal="center" vertical="center"/>
    </xf>
    <xf numFmtId="0" fontId="54" fillId="16" borderId="2" xfId="0" applyFont="1" applyFill="1" applyBorder="1" applyAlignment="1">
      <alignment vertical="center"/>
    </xf>
    <xf numFmtId="1" fontId="0" fillId="16" borderId="2" xfId="0" applyNumberFormat="1" applyFill="1" applyBorder="1"/>
    <xf numFmtId="0" fontId="54" fillId="16" borderId="2" xfId="0" applyFont="1" applyFill="1" applyBorder="1"/>
    <xf numFmtId="0" fontId="54" fillId="16" borderId="2" xfId="0" applyFont="1" applyFill="1" applyBorder="1" applyAlignment="1">
      <alignment horizontal="center" vertical="center" wrapText="1"/>
    </xf>
    <xf numFmtId="4" fontId="1" fillId="16" borderId="2" xfId="1" applyNumberFormat="1" applyFont="1" applyFill="1" applyBorder="1" applyAlignment="1">
      <alignment horizontal="right"/>
    </xf>
    <xf numFmtId="0" fontId="54" fillId="16" borderId="2" xfId="0" applyFont="1" applyFill="1" applyBorder="1" applyAlignment="1">
      <alignment horizontal="center" vertical="center" wrapText="1"/>
    </xf>
    <xf numFmtId="0" fontId="54" fillId="16" borderId="4" xfId="0" applyFont="1" applyFill="1" applyBorder="1" applyAlignment="1">
      <alignment horizontal="center" vertical="center" wrapText="1"/>
    </xf>
    <xf numFmtId="0" fontId="54" fillId="16" borderId="0" xfId="0" applyFont="1" applyFill="1" applyAlignment="1">
      <alignment vertical="center"/>
    </xf>
    <xf numFmtId="0" fontId="0" fillId="16" borderId="4" xfId="0" applyFill="1" applyBorder="1" applyAlignment="1">
      <alignment horizontal="center" vertical="center" wrapText="1"/>
    </xf>
    <xf numFmtId="0" fontId="54" fillId="0" borderId="6" xfId="0" applyFont="1" applyBorder="1" applyAlignment="1">
      <alignment horizontal="right" vertical="center" wrapText="1"/>
    </xf>
    <xf numFmtId="0" fontId="54" fillId="0" borderId="7" xfId="0" applyFont="1" applyBorder="1" applyAlignment="1">
      <alignment horizontal="right" vertical="center" wrapText="1"/>
    </xf>
    <xf numFmtId="0" fontId="54" fillId="0" borderId="8" xfId="0" applyFont="1" applyBorder="1" applyAlignment="1">
      <alignment horizontal="right" vertical="center" wrapText="1"/>
    </xf>
    <xf numFmtId="4" fontId="10" fillId="5" borderId="2" xfId="1" applyNumberFormat="1" applyFont="1" applyFill="1" applyBorder="1" applyAlignment="1">
      <alignment horizontal="right"/>
    </xf>
    <xf numFmtId="0" fontId="0" fillId="16" borderId="2" xfId="0" applyFill="1" applyBorder="1"/>
    <xf numFmtId="164" fontId="54" fillId="0" borderId="8" xfId="1" applyFont="1" applyFill="1" applyBorder="1" applyAlignment="1">
      <alignment vertical="center"/>
    </xf>
    <xf numFmtId="164" fontId="54" fillId="0" borderId="2" xfId="1" applyFont="1" applyFill="1" applyBorder="1" applyAlignment="1">
      <alignment vertical="center"/>
    </xf>
    <xf numFmtId="0" fontId="31" fillId="16" borderId="2" xfId="0" applyFont="1" applyFill="1" applyBorder="1" applyAlignment="1">
      <alignment horizontal="center" vertical="center" wrapText="1"/>
    </xf>
    <xf numFmtId="0" fontId="0" fillId="16" borderId="1" xfId="0" applyFill="1" applyBorder="1" applyAlignment="1">
      <alignment horizontal="center"/>
    </xf>
    <xf numFmtId="0" fontId="54" fillId="4" borderId="2" xfId="0" applyFont="1" applyFill="1" applyBorder="1" applyAlignment="1">
      <alignment vertical="center"/>
    </xf>
    <xf numFmtId="0" fontId="0" fillId="16" borderId="3" xfId="0" applyFill="1" applyBorder="1" applyAlignment="1">
      <alignment horizontal="center"/>
    </xf>
    <xf numFmtId="171" fontId="0" fillId="16" borderId="2" xfId="0" applyNumberFormat="1" applyFill="1" applyBorder="1"/>
    <xf numFmtId="0" fontId="53" fillId="16" borderId="2" xfId="0" applyFont="1" applyFill="1" applyBorder="1" applyAlignment="1">
      <alignment horizontal="center" vertical="center" wrapText="1"/>
    </xf>
    <xf numFmtId="0" fontId="0" fillId="16" borderId="4" xfId="0" applyFill="1" applyBorder="1" applyAlignment="1">
      <alignment horizontal="center"/>
    </xf>
    <xf numFmtId="0" fontId="25" fillId="16" borderId="1" xfId="0" applyFont="1" applyFill="1" applyBorder="1" applyAlignment="1">
      <alignment horizontal="center" vertical="center" wrapText="1"/>
    </xf>
    <xf numFmtId="0" fontId="0" fillId="16" borderId="2" xfId="0" applyFill="1" applyBorder="1" applyAlignment="1">
      <alignment horizontal="center" vertical="center" wrapText="1"/>
    </xf>
    <xf numFmtId="0" fontId="25" fillId="16" borderId="3" xfId="0" applyFont="1" applyFill="1" applyBorder="1" applyAlignment="1">
      <alignment horizontal="center" vertical="center" wrapText="1"/>
    </xf>
    <xf numFmtId="0" fontId="0" fillId="12" borderId="0" xfId="0" applyFill="1"/>
    <xf numFmtId="0" fontId="0" fillId="7" borderId="0" xfId="0" applyFill="1"/>
    <xf numFmtId="0" fontId="54" fillId="19" borderId="2" xfId="0" applyFont="1" applyFill="1" applyBorder="1" applyAlignment="1">
      <alignment vertical="center"/>
    </xf>
    <xf numFmtId="0" fontId="53" fillId="19" borderId="2" xfId="0" applyFont="1" applyFill="1" applyBorder="1"/>
    <xf numFmtId="0" fontId="54" fillId="19" borderId="2" xfId="0" applyFont="1" applyFill="1" applyBorder="1" applyAlignment="1">
      <alignment horizontal="left" vertical="center"/>
    </xf>
    <xf numFmtId="0" fontId="53" fillId="16" borderId="2" xfId="0" applyFont="1" applyFill="1" applyBorder="1" applyAlignment="1">
      <alignment wrapText="1"/>
    </xf>
    <xf numFmtId="0" fontId="54" fillId="19" borderId="0" xfId="0" applyFont="1" applyFill="1" applyAlignment="1">
      <alignment vertical="center"/>
    </xf>
    <xf numFmtId="4" fontId="0" fillId="16" borderId="10" xfId="1" applyNumberFormat="1" applyFont="1" applyFill="1" applyBorder="1" applyAlignment="1">
      <alignment horizontal="right"/>
    </xf>
    <xf numFmtId="0" fontId="54" fillId="19" borderId="1" xfId="0" applyFont="1" applyFill="1" applyBorder="1" applyAlignment="1">
      <alignment vertical="center"/>
    </xf>
    <xf numFmtId="0" fontId="0" fillId="0" borderId="2" xfId="0" applyBorder="1" applyAlignment="1">
      <alignment horizontal="right"/>
    </xf>
    <xf numFmtId="4" fontId="7" fillId="5" borderId="2" xfId="1" applyNumberFormat="1" applyFont="1" applyFill="1" applyBorder="1" applyAlignment="1">
      <alignment horizontal="right"/>
    </xf>
    <xf numFmtId="164" fontId="54" fillId="19" borderId="8" xfId="1" applyFont="1" applyFill="1" applyBorder="1" applyAlignment="1">
      <alignment vertical="center"/>
    </xf>
    <xf numFmtId="164" fontId="54" fillId="19" borderId="2" xfId="1" applyFont="1" applyFill="1" applyBorder="1" applyAlignment="1">
      <alignment vertical="center"/>
    </xf>
    <xf numFmtId="0" fontId="54" fillId="19" borderId="17" xfId="0" applyFont="1" applyFill="1" applyBorder="1" applyAlignment="1">
      <alignment vertical="center" wrapText="1"/>
    </xf>
    <xf numFmtId="0" fontId="54" fillId="19" borderId="3" xfId="0" applyFont="1" applyFill="1" applyBorder="1" applyAlignment="1">
      <alignment vertical="center" wrapText="1"/>
    </xf>
    <xf numFmtId="0" fontId="54" fillId="19" borderId="18" xfId="0" applyFont="1" applyFill="1" applyBorder="1" applyAlignment="1">
      <alignment vertical="center" wrapText="1"/>
    </xf>
    <xf numFmtId="0" fontId="25" fillId="16" borderId="4" xfId="0" applyFont="1" applyFill="1" applyBorder="1" applyAlignment="1">
      <alignment horizontal="center" vertical="center" wrapText="1"/>
    </xf>
    <xf numFmtId="3" fontId="0" fillId="16" borderId="2" xfId="0" applyNumberFormat="1" applyFill="1" applyBorder="1"/>
    <xf numFmtId="0" fontId="32" fillId="0" borderId="4" xfId="0" applyFont="1" applyBorder="1" applyAlignment="1">
      <alignment vertical="center" wrapText="1"/>
    </xf>
    <xf numFmtId="0" fontId="25" fillId="0" borderId="3" xfId="0" applyFont="1" applyBorder="1" applyAlignment="1">
      <alignment vertical="center" wrapText="1"/>
    </xf>
    <xf numFmtId="9" fontId="54" fillId="20" borderId="10" xfId="2" applyFont="1" applyFill="1" applyBorder="1" applyAlignment="1">
      <alignment horizontal="center" vertical="center"/>
    </xf>
    <xf numFmtId="9" fontId="54" fillId="20" borderId="4" xfId="2" applyFont="1" applyFill="1" applyBorder="1" applyAlignment="1">
      <alignment horizontal="center" vertical="center"/>
    </xf>
    <xf numFmtId="9" fontId="54" fillId="20" borderId="4" xfId="0" applyNumberFormat="1" applyFont="1" applyFill="1" applyBorder="1" applyAlignment="1">
      <alignment horizontal="center" vertical="center"/>
    </xf>
    <xf numFmtId="164" fontId="54" fillId="20" borderId="2" xfId="1" applyFont="1" applyFill="1" applyBorder="1" applyAlignment="1">
      <alignment vertical="center"/>
    </xf>
    <xf numFmtId="0" fontId="25" fillId="21" borderId="3" xfId="0" applyFont="1" applyFill="1" applyBorder="1" applyAlignment="1">
      <alignment horizontal="center" vertical="center" wrapText="1"/>
    </xf>
    <xf numFmtId="0" fontId="0" fillId="21" borderId="3" xfId="0" applyFill="1" applyBorder="1" applyAlignment="1">
      <alignment horizontal="center" vertical="center" wrapText="1"/>
    </xf>
    <xf numFmtId="0" fontId="0" fillId="21" borderId="2" xfId="0" applyFill="1" applyBorder="1" applyAlignment="1">
      <alignment horizontal="center" vertical="center" wrapText="1"/>
    </xf>
    <xf numFmtId="0" fontId="0" fillId="21" borderId="2" xfId="0" applyFill="1" applyBorder="1" applyAlignment="1">
      <alignment horizontal="center"/>
    </xf>
    <xf numFmtId="49" fontId="0" fillId="21" borderId="2" xfId="0" applyNumberFormat="1" applyFill="1" applyBorder="1"/>
    <xf numFmtId="0" fontId="31" fillId="21" borderId="2" xfId="0" applyFont="1" applyFill="1" applyBorder="1"/>
    <xf numFmtId="4" fontId="0" fillId="21" borderId="2" xfId="0" applyNumberFormat="1" applyFill="1" applyBorder="1" applyAlignment="1">
      <alignment horizontal="right"/>
    </xf>
    <xf numFmtId="4" fontId="0" fillId="21" borderId="8" xfId="0" applyNumberFormat="1" applyFill="1" applyBorder="1" applyAlignment="1">
      <alignment horizontal="right"/>
    </xf>
    <xf numFmtId="9" fontId="54" fillId="21" borderId="8" xfId="2" applyFont="1" applyFill="1" applyBorder="1" applyAlignment="1">
      <alignment horizontal="center" vertical="center"/>
    </xf>
    <xf numFmtId="9" fontId="54" fillId="21" borderId="2" xfId="2" applyFont="1" applyFill="1" applyBorder="1" applyAlignment="1">
      <alignment horizontal="center" vertical="center"/>
    </xf>
    <xf numFmtId="9" fontId="54" fillId="21" borderId="2" xfId="0" applyNumberFormat="1" applyFont="1" applyFill="1" applyBorder="1" applyAlignment="1">
      <alignment horizontal="center" vertical="center"/>
    </xf>
    <xf numFmtId="164" fontId="54" fillId="21" borderId="2" xfId="1" applyFont="1" applyFill="1" applyBorder="1" applyAlignment="1">
      <alignment vertical="center"/>
    </xf>
    <xf numFmtId="0" fontId="54" fillId="21" borderId="1" xfId="0" applyFont="1" applyFill="1" applyBorder="1" applyAlignment="1">
      <alignment horizontal="center" vertical="center" wrapText="1"/>
    </xf>
    <xf numFmtId="49" fontId="0" fillId="21" borderId="4" xfId="0" applyNumberFormat="1" applyFill="1" applyBorder="1"/>
    <xf numFmtId="0" fontId="53" fillId="21" borderId="4" xfId="0" applyFont="1" applyFill="1" applyBorder="1" applyAlignment="1">
      <alignment wrapText="1"/>
    </xf>
    <xf numFmtId="4" fontId="0" fillId="21" borderId="10" xfId="1" applyNumberFormat="1" applyFont="1" applyFill="1" applyBorder="1" applyAlignment="1">
      <alignment horizontal="right"/>
    </xf>
    <xf numFmtId="0" fontId="54" fillId="21" borderId="3" xfId="0" applyFont="1" applyFill="1" applyBorder="1" applyAlignment="1">
      <alignment horizontal="center" vertical="center" wrapText="1"/>
    </xf>
    <xf numFmtId="0" fontId="54" fillId="21" borderId="2" xfId="0" applyFont="1" applyFill="1" applyBorder="1" applyAlignment="1">
      <alignment horizontal="center" vertical="center" wrapText="1"/>
    </xf>
    <xf numFmtId="0" fontId="53" fillId="21" borderId="2" xfId="0" applyFont="1" applyFill="1" applyBorder="1" applyAlignment="1">
      <alignment wrapText="1"/>
    </xf>
    <xf numFmtId="4" fontId="0" fillId="21" borderId="8" xfId="1" applyNumberFormat="1" applyFont="1" applyFill="1" applyBorder="1" applyAlignment="1">
      <alignment horizontal="right"/>
    </xf>
    <xf numFmtId="0" fontId="53" fillId="21" borderId="4" xfId="0" applyFont="1" applyFill="1" applyBorder="1"/>
    <xf numFmtId="4" fontId="0" fillId="0" borderId="0" xfId="0" applyNumberFormat="1"/>
    <xf numFmtId="0" fontId="0" fillId="21" borderId="2" xfId="0" applyFill="1" applyBorder="1" applyAlignment="1">
      <alignment horizontal="center" vertical="center"/>
    </xf>
    <xf numFmtId="4" fontId="0" fillId="5" borderId="0" xfId="0" applyNumberFormat="1" applyFill="1" applyAlignment="1">
      <alignment horizontal="center"/>
    </xf>
    <xf numFmtId="0" fontId="0" fillId="5" borderId="0" xfId="0" applyFill="1" applyAlignment="1">
      <alignment horizontal="center"/>
    </xf>
    <xf numFmtId="0" fontId="53" fillId="21" borderId="2" xfId="0" applyFont="1" applyFill="1" applyBorder="1"/>
    <xf numFmtId="4" fontId="0" fillId="21" borderId="2" xfId="1" applyNumberFormat="1" applyFont="1" applyFill="1" applyBorder="1" applyAlignment="1">
      <alignment horizontal="right"/>
    </xf>
    <xf numFmtId="0" fontId="0" fillId="21" borderId="0" xfId="0" applyFill="1"/>
    <xf numFmtId="0" fontId="0" fillId="0" borderId="6" xfId="0" applyBorder="1" applyAlignment="1">
      <alignment horizontal="right" vertical="center"/>
    </xf>
    <xf numFmtId="0" fontId="0" fillId="0" borderId="7" xfId="0" applyBorder="1" applyAlignment="1">
      <alignment horizontal="right" vertical="center"/>
    </xf>
    <xf numFmtId="4" fontId="41" fillId="5" borderId="8" xfId="1" applyNumberFormat="1" applyFont="1" applyFill="1" applyBorder="1" applyAlignment="1">
      <alignment horizontal="right"/>
    </xf>
    <xf numFmtId="3" fontId="0" fillId="21" borderId="2" xfId="0" applyNumberFormat="1" applyFill="1" applyBorder="1"/>
    <xf numFmtId="0" fontId="0" fillId="21" borderId="2" xfId="0" applyFill="1" applyBorder="1"/>
    <xf numFmtId="0" fontId="54" fillId="21" borderId="2" xfId="0" applyFont="1" applyFill="1" applyBorder="1"/>
    <xf numFmtId="0" fontId="54" fillId="20" borderId="2" xfId="0" applyFont="1" applyFill="1" applyBorder="1" applyAlignment="1">
      <alignment horizontal="center" vertical="center" wrapText="1"/>
    </xf>
    <xf numFmtId="0" fontId="0" fillId="21" borderId="1" xfId="0" applyFill="1" applyBorder="1"/>
    <xf numFmtId="0" fontId="0" fillId="21" borderId="1" xfId="0" applyFill="1" applyBorder="1" applyAlignment="1">
      <alignment vertical="center"/>
    </xf>
    <xf numFmtId="0" fontId="53" fillId="21" borderId="1" xfId="0" applyFont="1" applyFill="1" applyBorder="1" applyAlignment="1">
      <alignment vertical="center" wrapText="1"/>
    </xf>
    <xf numFmtId="4" fontId="7" fillId="5" borderId="2" xfId="0" applyNumberFormat="1" applyFont="1" applyFill="1" applyBorder="1"/>
    <xf numFmtId="4" fontId="7" fillId="5" borderId="0" xfId="0" applyNumberFormat="1" applyFont="1" applyFill="1"/>
    <xf numFmtId="4" fontId="10" fillId="8" borderId="0" xfId="0" applyNumberFormat="1" applyFont="1" applyFill="1" applyAlignment="1">
      <alignment horizontal="right"/>
    </xf>
    <xf numFmtId="0" fontId="3" fillId="0" borderId="2" xfId="0" applyFont="1" applyBorder="1"/>
    <xf numFmtId="0" fontId="3" fillId="0" borderId="2" xfId="0" applyFont="1" applyBorder="1" applyAlignment="1">
      <alignment wrapText="1"/>
    </xf>
    <xf numFmtId="164" fontId="3" fillId="0" borderId="2" xfId="1" applyFont="1" applyFill="1" applyBorder="1"/>
    <xf numFmtId="9" fontId="3" fillId="0" borderId="2" xfId="2" applyFont="1" applyFill="1" applyBorder="1" applyAlignment="1">
      <alignment horizontal="center" vertical="center"/>
    </xf>
    <xf numFmtId="9" fontId="3" fillId="0" borderId="2" xfId="0" applyNumberFormat="1" applyFont="1" applyBorder="1" applyAlignment="1">
      <alignment horizontal="center" vertical="center"/>
    </xf>
    <xf numFmtId="164" fontId="3" fillId="0" borderId="2" xfId="1" applyFont="1" applyFill="1" applyBorder="1" applyAlignment="1">
      <alignment vertical="center"/>
    </xf>
    <xf numFmtId="0" fontId="3" fillId="0" borderId="2" xfId="0" applyFont="1" applyBorder="1" applyAlignment="1">
      <alignment horizontal="justify" wrapText="1"/>
    </xf>
    <xf numFmtId="164" fontId="55" fillId="0" borderId="2" xfId="1" applyFont="1" applyFill="1" applyBorder="1"/>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center" vertical="center" wrapText="1"/>
    </xf>
    <xf numFmtId="0" fontId="54" fillId="4" borderId="1" xfId="0" applyFont="1" applyFill="1" applyBorder="1" applyAlignment="1">
      <alignment horizontal="center" vertical="center" wrapText="1"/>
    </xf>
    <xf numFmtId="0" fontId="0" fillId="4" borderId="2" xfId="0" applyFill="1" applyBorder="1" applyAlignment="1">
      <alignment vertical="center"/>
    </xf>
    <xf numFmtId="0" fontId="0" fillId="7" borderId="2" xfId="0" applyFill="1" applyBorder="1" applyAlignment="1">
      <alignment vertical="center"/>
    </xf>
    <xf numFmtId="9" fontId="54" fillId="4" borderId="2" xfId="2" applyFont="1" applyFill="1" applyBorder="1" applyAlignment="1">
      <alignment horizontal="center" vertical="center"/>
    </xf>
    <xf numFmtId="10" fontId="9" fillId="0" borderId="13" xfId="2" applyNumberFormat="1" applyFont="1" applyFill="1" applyBorder="1" applyAlignment="1">
      <alignment horizontal="center" vertical="center" wrapText="1"/>
    </xf>
    <xf numFmtId="166" fontId="9" fillId="0" borderId="0" xfId="0" applyNumberFormat="1" applyFont="1" applyAlignment="1">
      <alignment horizontal="center" vertical="center" wrapText="1"/>
    </xf>
    <xf numFmtId="0" fontId="54" fillId="4" borderId="3" xfId="0" applyFont="1" applyFill="1" applyBorder="1" applyAlignment="1">
      <alignment horizontal="center" vertical="center" wrapText="1"/>
    </xf>
    <xf numFmtId="0" fontId="0" fillId="4" borderId="2" xfId="0" applyFill="1" applyBorder="1"/>
    <xf numFmtId="0" fontId="54" fillId="4" borderId="4" xfId="0" applyFont="1" applyFill="1" applyBorder="1" applyAlignment="1">
      <alignment horizontal="center" vertical="center" wrapText="1"/>
    </xf>
    <xf numFmtId="0" fontId="54" fillId="18" borderId="1" xfId="0" applyFont="1" applyFill="1" applyBorder="1" applyAlignment="1">
      <alignment horizontal="center" vertical="center"/>
    </xf>
    <xf numFmtId="0" fontId="0" fillId="18" borderId="2" xfId="0" applyFill="1" applyBorder="1" applyAlignment="1">
      <alignment vertical="center"/>
    </xf>
    <xf numFmtId="0" fontId="54" fillId="18" borderId="3" xfId="0" applyFont="1" applyFill="1" applyBorder="1" applyAlignment="1">
      <alignment horizontal="center" vertical="center"/>
    </xf>
    <xf numFmtId="0" fontId="54" fillId="18" borderId="4" xfId="0" applyFont="1" applyFill="1" applyBorder="1" applyAlignment="1">
      <alignment horizontal="center" vertical="center"/>
    </xf>
    <xf numFmtId="0" fontId="0" fillId="18" borderId="2" xfId="0" applyFill="1" applyBorder="1"/>
    <xf numFmtId="0" fontId="54" fillId="22" borderId="1" xfId="0" applyFont="1" applyFill="1" applyBorder="1" applyAlignment="1">
      <alignment horizontal="center" vertical="center"/>
    </xf>
    <xf numFmtId="0" fontId="0" fillId="22" borderId="2" xfId="0" applyFill="1" applyBorder="1" applyAlignment="1">
      <alignment vertical="center"/>
    </xf>
    <xf numFmtId="0" fontId="54" fillId="22" borderId="3" xfId="0" applyFont="1" applyFill="1" applyBorder="1" applyAlignment="1">
      <alignment horizontal="center" vertical="center"/>
    </xf>
    <xf numFmtId="3" fontId="0" fillId="22" borderId="2" xfId="0" applyNumberFormat="1" applyFill="1" applyBorder="1"/>
    <xf numFmtId="0" fontId="38" fillId="22" borderId="2" xfId="0" applyFont="1" applyFill="1" applyBorder="1"/>
    <xf numFmtId="0" fontId="54" fillId="22" borderId="4" xfId="0" applyFont="1" applyFill="1" applyBorder="1" applyAlignment="1">
      <alignment horizontal="center" vertical="center"/>
    </xf>
    <xf numFmtId="0" fontId="54" fillId="23" borderId="1" xfId="0" applyFont="1" applyFill="1" applyBorder="1" applyAlignment="1">
      <alignment horizontal="center" vertical="center"/>
    </xf>
    <xf numFmtId="0" fontId="0" fillId="23" borderId="2" xfId="0" applyFill="1" applyBorder="1" applyAlignment="1">
      <alignment vertical="center"/>
    </xf>
    <xf numFmtId="0" fontId="54" fillId="23" borderId="3" xfId="0" applyFont="1" applyFill="1" applyBorder="1" applyAlignment="1">
      <alignment horizontal="center" vertical="center"/>
    </xf>
    <xf numFmtId="0" fontId="7" fillId="0" borderId="13" xfId="0" applyFont="1" applyBorder="1" applyAlignment="1">
      <alignment horizontal="center"/>
    </xf>
    <xf numFmtId="0" fontId="54" fillId="23" borderId="4" xfId="0" applyFont="1" applyFill="1" applyBorder="1" applyAlignment="1">
      <alignment horizontal="center" vertical="center"/>
    </xf>
    <xf numFmtId="0" fontId="0" fillId="23" borderId="2" xfId="0" applyFill="1" applyBorder="1"/>
    <xf numFmtId="0" fontId="56" fillId="0" borderId="0" xfId="0" applyFont="1" applyAlignment="1">
      <alignment vertical="center" wrapText="1"/>
    </xf>
    <xf numFmtId="0" fontId="57" fillId="5" borderId="0" xfId="0" applyFont="1" applyFill="1" applyAlignment="1">
      <alignment vertical="center" wrapText="1"/>
    </xf>
    <xf numFmtId="0" fontId="14" fillId="4" borderId="2" xfId="0" applyFont="1" applyFill="1" applyBorder="1" applyAlignment="1">
      <alignment horizontal="center" vertical="center" wrapText="1"/>
    </xf>
    <xf numFmtId="0" fontId="8" fillId="4" borderId="8" xfId="0" applyFont="1" applyFill="1" applyBorder="1" applyAlignment="1">
      <alignment horizontal="right"/>
    </xf>
    <xf numFmtId="0" fontId="54" fillId="4" borderId="2" xfId="0" applyFont="1" applyFill="1" applyBorder="1" applyAlignment="1">
      <alignment vertical="center" wrapText="1"/>
    </xf>
    <xf numFmtId="9" fontId="54" fillId="4" borderId="2" xfId="0" applyNumberFormat="1" applyFont="1" applyFill="1" applyBorder="1" applyAlignment="1">
      <alignment horizontal="center" vertical="center"/>
    </xf>
    <xf numFmtId="164" fontId="54" fillId="4" borderId="2" xfId="1" applyFont="1" applyFill="1" applyBorder="1" applyAlignment="1">
      <alignment vertical="center"/>
    </xf>
    <xf numFmtId="0" fontId="14" fillId="0" borderId="2" xfId="0" applyFont="1" applyBorder="1" applyAlignment="1">
      <alignment horizontal="center" vertical="center" wrapText="1"/>
    </xf>
    <xf numFmtId="0" fontId="8" fillId="0" borderId="8" xfId="0" applyFont="1" applyBorder="1" applyAlignment="1">
      <alignment horizontal="right"/>
    </xf>
    <xf numFmtId="0" fontId="54" fillId="0" borderId="2" xfId="0" applyFont="1" applyBorder="1" applyAlignment="1">
      <alignment vertical="center" wrapText="1"/>
    </xf>
    <xf numFmtId="9" fontId="54" fillId="0" borderId="2" xfId="2" applyFont="1" applyFill="1" applyBorder="1" applyAlignment="1">
      <alignment horizontal="center" vertical="center"/>
    </xf>
    <xf numFmtId="9" fontId="54" fillId="0" borderId="2" xfId="0" applyNumberFormat="1" applyFont="1" applyBorder="1" applyAlignment="1">
      <alignment horizontal="center" vertical="center"/>
    </xf>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4" fontId="9" fillId="5" borderId="0" xfId="0" applyNumberFormat="1" applyFont="1" applyFill="1" applyAlignment="1">
      <alignment horizontal="center" vertical="center" wrapText="1"/>
    </xf>
    <xf numFmtId="10" fontId="9" fillId="0" borderId="0" xfId="2" applyNumberFormat="1" applyFont="1" applyFill="1" applyBorder="1" applyAlignment="1">
      <alignment horizontal="center" vertical="center" wrapText="1"/>
    </xf>
    <xf numFmtId="0" fontId="7" fillId="0" borderId="2" xfId="0" applyFont="1" applyBorder="1" applyAlignment="1">
      <alignment horizontal="center" vertical="center"/>
    </xf>
    <xf numFmtId="0" fontId="8" fillId="20" borderId="8" xfId="0" applyFont="1" applyFill="1" applyBorder="1" applyAlignment="1">
      <alignment horizontal="right"/>
    </xf>
    <xf numFmtId="0" fontId="54" fillId="20" borderId="2" xfId="0" applyFont="1" applyFill="1" applyBorder="1" applyAlignment="1">
      <alignment vertical="center" wrapText="1"/>
    </xf>
    <xf numFmtId="10" fontId="9" fillId="0" borderId="2" xfId="2" applyNumberFormat="1" applyFont="1" applyFill="1" applyBorder="1" applyAlignment="1">
      <alignment horizontal="center" vertical="center" wrapText="1"/>
    </xf>
    <xf numFmtId="166" fontId="9" fillId="0" borderId="2" xfId="0" applyNumberFormat="1" applyFont="1" applyBorder="1" applyAlignment="1">
      <alignment horizontal="center" vertical="center" wrapText="1"/>
    </xf>
    <xf numFmtId="0" fontId="8" fillId="20" borderId="14" xfId="0" applyFont="1" applyFill="1" applyBorder="1" applyAlignment="1">
      <alignment horizontal="right"/>
    </xf>
    <xf numFmtId="0" fontId="8" fillId="20" borderId="14" xfId="0" applyFont="1" applyFill="1" applyBorder="1" applyAlignment="1">
      <alignment horizontal="center"/>
    </xf>
    <xf numFmtId="4" fontId="9" fillId="0" borderId="0" xfId="0" applyNumberFormat="1" applyFont="1" applyAlignment="1">
      <alignment horizontal="center" vertical="center" wrapText="1"/>
    </xf>
    <xf numFmtId="4" fontId="0" fillId="8" borderId="0" xfId="0" applyNumberFormat="1" applyFill="1"/>
    <xf numFmtId="0" fontId="58" fillId="0" borderId="19" xfId="0" applyFont="1" applyBorder="1" applyAlignment="1">
      <alignment horizontal="center"/>
    </xf>
    <xf numFmtId="0" fontId="58" fillId="0" borderId="20" xfId="0" applyFont="1" applyBorder="1" applyAlignment="1">
      <alignment horizontal="center"/>
    </xf>
    <xf numFmtId="0" fontId="58" fillId="0" borderId="21" xfId="0" applyFont="1" applyBorder="1" applyAlignment="1">
      <alignment horizontal="center"/>
    </xf>
    <xf numFmtId="0" fontId="58" fillId="0" borderId="22" xfId="0" applyFont="1" applyBorder="1" applyAlignment="1">
      <alignment horizontal="center"/>
    </xf>
    <xf numFmtId="0" fontId="58" fillId="0" borderId="0" xfId="0" applyFont="1" applyAlignment="1">
      <alignment horizontal="center"/>
    </xf>
    <xf numFmtId="0" fontId="58" fillId="0" borderId="23" xfId="0" applyFont="1" applyBorder="1" applyAlignment="1">
      <alignment horizontal="center"/>
    </xf>
    <xf numFmtId="0" fontId="24" fillId="0" borderId="0" xfId="0" applyFont="1"/>
    <xf numFmtId="0" fontId="24" fillId="8" borderId="22" xfId="0" applyFont="1" applyFill="1" applyBorder="1" applyAlignment="1">
      <alignment horizontal="center"/>
    </xf>
    <xf numFmtId="0" fontId="24" fillId="8" borderId="0" xfId="0" applyFont="1" applyFill="1" applyAlignment="1">
      <alignment horizontal="center"/>
    </xf>
    <xf numFmtId="0" fontId="24" fillId="8" borderId="0" xfId="0" applyFont="1" applyFill="1" applyAlignment="1">
      <alignment horizontal="center"/>
    </xf>
    <xf numFmtId="0" fontId="24" fillId="0" borderId="23" xfId="0" applyFont="1" applyBorder="1"/>
    <xf numFmtId="0" fontId="24" fillId="0" borderId="22" xfId="0" applyFont="1" applyBorder="1"/>
    <xf numFmtId="0" fontId="25" fillId="0" borderId="24" xfId="0" applyFont="1" applyBorder="1" applyAlignment="1">
      <alignment vertical="center" wrapText="1"/>
    </xf>
    <xf numFmtId="0" fontId="25" fillId="4" borderId="2" xfId="0" applyFont="1" applyFill="1" applyBorder="1" applyAlignment="1">
      <alignment vertical="center" wrapText="1"/>
    </xf>
    <xf numFmtId="164" fontId="24" fillId="8" borderId="25" xfId="1" applyFont="1" applyFill="1" applyBorder="1"/>
    <xf numFmtId="0" fontId="0" fillId="0" borderId="26" xfId="0" applyBorder="1"/>
    <xf numFmtId="0" fontId="0" fillId="0" borderId="27" xfId="0" applyBorder="1"/>
    <xf numFmtId="0" fontId="10" fillId="0" borderId="26" xfId="0" applyFont="1" applyBorder="1"/>
    <xf numFmtId="164" fontId="41" fillId="0" borderId="28" xfId="0" applyNumberFormat="1" applyFont="1" applyBorder="1"/>
    <xf numFmtId="0" fontId="0" fillId="0" borderId="13" xfId="0" applyBorder="1" applyAlignment="1">
      <alignment horizontal="center"/>
    </xf>
    <xf numFmtId="0" fontId="16" fillId="19" borderId="3" xfId="0" applyFont="1" applyFill="1" applyBorder="1" applyAlignment="1">
      <alignment horizontal="center" vertical="center"/>
    </xf>
    <xf numFmtId="0" fontId="8" fillId="19" borderId="2" xfId="0" applyFont="1" applyFill="1" applyBorder="1" applyAlignment="1">
      <alignment horizontal="right"/>
    </xf>
    <xf numFmtId="0" fontId="54" fillId="19" borderId="2" xfId="0" applyFont="1" applyFill="1" applyBorder="1" applyAlignment="1">
      <alignment vertical="center" wrapText="1"/>
    </xf>
    <xf numFmtId="164" fontId="0" fillId="19" borderId="2" xfId="1" applyFont="1" applyFill="1" applyBorder="1"/>
    <xf numFmtId="9" fontId="54" fillId="19" borderId="2" xfId="2" applyFont="1" applyFill="1" applyBorder="1" applyAlignment="1">
      <alignment horizontal="center" vertical="center"/>
    </xf>
    <xf numFmtId="9" fontId="54" fillId="19" borderId="2" xfId="0" applyNumberFormat="1" applyFont="1" applyFill="1" applyBorder="1" applyAlignment="1">
      <alignment horizontal="center" vertical="center"/>
    </xf>
    <xf numFmtId="0" fontId="0" fillId="0" borderId="0" xfId="0" applyAlignment="1">
      <alignment horizontal="center"/>
    </xf>
    <xf numFmtId="0" fontId="16" fillId="19" borderId="4" xfId="0" applyFont="1" applyFill="1" applyBorder="1" applyAlignment="1">
      <alignment horizontal="center" vertical="center"/>
    </xf>
    <xf numFmtId="0" fontId="10" fillId="3" borderId="1" xfId="0" applyFont="1" applyFill="1" applyBorder="1" applyAlignment="1">
      <alignment horizontal="center" vertical="center" wrapText="1"/>
    </xf>
    <xf numFmtId="0" fontId="8" fillId="3" borderId="2" xfId="0" applyFont="1" applyFill="1" applyBorder="1" applyAlignment="1">
      <alignment horizontal="right"/>
    </xf>
    <xf numFmtId="0" fontId="54" fillId="3" borderId="2" xfId="0" applyFont="1" applyFill="1" applyBorder="1" applyAlignment="1">
      <alignment vertical="center" wrapText="1"/>
    </xf>
    <xf numFmtId="164" fontId="0" fillId="3" borderId="2" xfId="1" applyFont="1" applyFill="1" applyBorder="1"/>
    <xf numFmtId="9" fontId="54" fillId="3" borderId="2" xfId="2" applyFont="1" applyFill="1" applyBorder="1" applyAlignment="1">
      <alignment horizontal="center" vertical="center"/>
    </xf>
    <xf numFmtId="9" fontId="54" fillId="3" borderId="2" xfId="0" applyNumberFormat="1" applyFont="1" applyFill="1" applyBorder="1" applyAlignment="1">
      <alignment horizontal="center" vertical="center"/>
    </xf>
    <xf numFmtId="164" fontId="54" fillId="3" borderId="2" xfId="1" applyFont="1" applyFill="1" applyBorder="1" applyAlignment="1">
      <alignment vertical="center"/>
    </xf>
    <xf numFmtId="0" fontId="10" fillId="3" borderId="3" xfId="0" applyFont="1" applyFill="1" applyBorder="1" applyAlignment="1">
      <alignment horizontal="center" vertical="center" wrapText="1"/>
    </xf>
    <xf numFmtId="0" fontId="0" fillId="3" borderId="0" xfId="0" applyFill="1"/>
    <xf numFmtId="0" fontId="10" fillId="3" borderId="4" xfId="0" applyFont="1" applyFill="1" applyBorder="1" applyAlignment="1">
      <alignment horizontal="center" vertical="center" wrapText="1"/>
    </xf>
    <xf numFmtId="0" fontId="16" fillId="20" borderId="13" xfId="0" applyFont="1" applyFill="1" applyBorder="1" applyAlignment="1">
      <alignment horizontal="center" vertical="center"/>
    </xf>
    <xf numFmtId="171" fontId="8" fillId="20" borderId="1" xfId="0" applyNumberFormat="1" applyFont="1" applyFill="1" applyBorder="1" applyAlignment="1">
      <alignment horizontal="right"/>
    </xf>
    <xf numFmtId="0" fontId="54" fillId="20" borderId="0" xfId="0" applyFont="1" applyFill="1" applyAlignment="1">
      <alignment vertical="center" wrapText="1"/>
    </xf>
    <xf numFmtId="164" fontId="0" fillId="20" borderId="1" xfId="0" applyNumberFormat="1" applyFill="1" applyBorder="1"/>
    <xf numFmtId="0" fontId="16" fillId="20" borderId="0" xfId="0" applyFont="1" applyFill="1" applyAlignment="1">
      <alignment horizontal="center" vertical="center"/>
    </xf>
    <xf numFmtId="164" fontId="0" fillId="20" borderId="2" xfId="1" applyFont="1" applyFill="1" applyBorder="1"/>
    <xf numFmtId="0" fontId="8" fillId="20" borderId="1" xfId="0" applyFont="1" applyFill="1" applyBorder="1" applyAlignment="1">
      <alignment horizontal="center"/>
    </xf>
    <xf numFmtId="0" fontId="54" fillId="20" borderId="1" xfId="0" applyFont="1" applyFill="1" applyBorder="1" applyAlignment="1">
      <alignment horizontal="left" vertical="center" wrapText="1"/>
    </xf>
    <xf numFmtId="0" fontId="8" fillId="20" borderId="2" xfId="0" applyFont="1" applyFill="1" applyBorder="1" applyAlignment="1">
      <alignment horizontal="right"/>
    </xf>
    <xf numFmtId="164" fontId="10" fillId="5" borderId="0" xfId="0" applyNumberFormat="1" applyFont="1" applyFill="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6" xfId="0" applyFont="1" applyBorder="1" applyAlignment="1">
      <alignment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9" fillId="3" borderId="12" xfId="3" applyNumberFormat="1" applyFont="1" applyFill="1" applyBorder="1" applyAlignment="1">
      <alignment horizontal="center" vertical="center" wrapText="1"/>
    </xf>
    <xf numFmtId="0" fontId="9" fillId="3" borderId="14" xfId="3"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3" borderId="16" xfId="3" applyNumberFormat="1" applyFont="1" applyFill="1" applyBorder="1" applyAlignment="1">
      <alignment horizontal="center" vertical="center" wrapText="1"/>
    </xf>
    <xf numFmtId="0" fontId="9" fillId="3" borderId="10" xfId="3" applyNumberFormat="1" applyFont="1" applyFill="1" applyBorder="1" applyAlignment="1">
      <alignment horizontal="center" vertical="center" wrapText="1"/>
    </xf>
    <xf numFmtId="0" fontId="9" fillId="4" borderId="12" xfId="3" applyNumberFormat="1" applyFont="1" applyFill="1" applyBorder="1" applyAlignment="1">
      <alignment horizontal="center" vertical="center" wrapText="1"/>
    </xf>
    <xf numFmtId="0" fontId="9" fillId="4" borderId="14" xfId="3" applyNumberFormat="1" applyFont="1" applyFill="1" applyBorder="1" applyAlignment="1">
      <alignment horizontal="center" vertical="center" wrapText="1"/>
    </xf>
    <xf numFmtId="0" fontId="9" fillId="4" borderId="16" xfId="3" applyNumberFormat="1" applyFont="1" applyFill="1" applyBorder="1" applyAlignment="1">
      <alignment horizontal="center" vertical="center" wrapText="1"/>
    </xf>
    <xf numFmtId="0" fontId="9" fillId="4" borderId="10" xfId="3" applyNumberFormat="1" applyFont="1" applyFill="1" applyBorder="1" applyAlignment="1">
      <alignment horizontal="center" vertical="center" wrapText="1"/>
    </xf>
    <xf numFmtId="0" fontId="0" fillId="13" borderId="13" xfId="0" applyFill="1" applyBorder="1" applyAlignment="1">
      <alignment horizontal="center"/>
    </xf>
    <xf numFmtId="0" fontId="5" fillId="13" borderId="1" xfId="0" applyFont="1" applyFill="1" applyBorder="1" applyAlignment="1">
      <alignment horizontal="center" vertical="center" wrapText="1"/>
    </xf>
    <xf numFmtId="0" fontId="0" fillId="13" borderId="0" xfId="0" applyFill="1"/>
    <xf numFmtId="49" fontId="5" fillId="13" borderId="2" xfId="0" applyNumberFormat="1" applyFont="1" applyFill="1" applyBorder="1" applyAlignment="1">
      <alignment horizontal="center" vertical="center" wrapText="1"/>
    </xf>
    <xf numFmtId="0" fontId="5"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0" fillId="13" borderId="0" xfId="0" applyFill="1" applyAlignment="1">
      <alignment horizontal="center"/>
    </xf>
    <xf numFmtId="0" fontId="5" fillId="13" borderId="3" xfId="0" applyFont="1" applyFill="1" applyBorder="1" applyAlignment="1">
      <alignment horizontal="center" vertical="center" wrapText="1"/>
    </xf>
    <xf numFmtId="2" fontId="13" fillId="13" borderId="12" xfId="0" applyNumberFormat="1" applyFont="1" applyFill="1" applyBorder="1" applyAlignment="1">
      <alignment horizontal="center" vertical="center"/>
    </xf>
    <xf numFmtId="0" fontId="0" fillId="13" borderId="3" xfId="0" applyFill="1" applyBorder="1" applyAlignment="1">
      <alignment horizontal="center" vertical="center"/>
    </xf>
    <xf numFmtId="0" fontId="23" fillId="13" borderId="0" xfId="0" applyFont="1" applyFill="1" applyAlignment="1">
      <alignment vertical="center" wrapText="1"/>
    </xf>
    <xf numFmtId="2" fontId="5" fillId="13" borderId="2" xfId="0" applyNumberFormat="1" applyFont="1" applyFill="1" applyBorder="1" applyAlignment="1">
      <alignment horizontal="center" vertical="center" wrapText="1"/>
    </xf>
    <xf numFmtId="2" fontId="12" fillId="13" borderId="6" xfId="0" applyNumberFormat="1" applyFont="1" applyFill="1" applyBorder="1" applyAlignment="1">
      <alignment horizontal="center" vertical="center" wrapText="1"/>
    </xf>
    <xf numFmtId="0" fontId="23" fillId="0" borderId="2" xfId="0" applyFont="1" applyBorder="1" applyAlignment="1">
      <alignment vertical="center" wrapText="1"/>
    </xf>
    <xf numFmtId="0" fontId="0" fillId="13" borderId="4" xfId="0" applyFill="1" applyBorder="1" applyAlignment="1">
      <alignment horizontal="center" vertical="center"/>
    </xf>
    <xf numFmtId="0" fontId="23" fillId="13" borderId="5" xfId="0" applyFont="1" applyFill="1" applyBorder="1" applyAlignment="1">
      <alignment horizontal="left" vertical="center" wrapText="1"/>
    </xf>
    <xf numFmtId="0" fontId="59" fillId="0" borderId="2" xfId="0" applyFont="1" applyBorder="1" applyAlignment="1">
      <alignment horizontal="center" vertical="center" wrapText="1"/>
    </xf>
    <xf numFmtId="0" fontId="23" fillId="0" borderId="2" xfId="0" applyFont="1" applyBorder="1" applyAlignment="1">
      <alignment horizontal="left" vertical="center" wrapText="1"/>
    </xf>
    <xf numFmtId="0" fontId="60" fillId="0" borderId="5" xfId="0" applyFont="1" applyBorder="1" applyAlignment="1">
      <alignment horizontal="left" vertical="center" wrapText="1"/>
    </xf>
    <xf numFmtId="10" fontId="23" fillId="0" borderId="5" xfId="0" applyNumberFormat="1" applyFont="1" applyBorder="1" applyAlignment="1">
      <alignment horizontal="left" vertical="center" wrapText="1"/>
    </xf>
    <xf numFmtId="0" fontId="61" fillId="0" borderId="13" xfId="0" applyFont="1" applyBorder="1" applyAlignment="1">
      <alignment horizontal="right" vertical="center" wrapText="1"/>
    </xf>
    <xf numFmtId="0" fontId="61" fillId="0" borderId="14" xfId="0" applyFont="1" applyBorder="1" applyAlignment="1">
      <alignment horizontal="right" vertical="center" wrapText="1"/>
    </xf>
    <xf numFmtId="2" fontId="62" fillId="5" borderId="6" xfId="0" applyNumberFormat="1" applyFont="1" applyFill="1" applyBorder="1" applyAlignment="1">
      <alignment horizontal="center" vertical="center" wrapText="1"/>
    </xf>
    <xf numFmtId="0" fontId="63" fillId="0" borderId="2" xfId="3" applyNumberFormat="1" applyFont="1" applyFill="1" applyBorder="1" applyAlignment="1">
      <alignment vertical="center" wrapText="1"/>
    </xf>
    <xf numFmtId="0" fontId="63" fillId="0" borderId="7" xfId="3" applyNumberFormat="1" applyFont="1" applyFill="1" applyBorder="1" applyAlignment="1">
      <alignment vertical="center" wrapText="1"/>
    </xf>
    <xf numFmtId="0" fontId="63" fillId="0" borderId="8" xfId="3" applyNumberFormat="1" applyFont="1" applyFill="1" applyBorder="1" applyAlignment="1">
      <alignment vertical="center" wrapText="1"/>
    </xf>
    <xf numFmtId="166" fontId="63" fillId="2" borderId="14" xfId="0" applyNumberFormat="1" applyFont="1" applyFill="1" applyBorder="1" applyAlignment="1">
      <alignment horizontal="center" vertical="center" wrapText="1"/>
    </xf>
    <xf numFmtId="0" fontId="7" fillId="13" borderId="3" xfId="0" applyFont="1" applyFill="1" applyBorder="1" applyAlignment="1">
      <alignment horizontal="center" vertical="center" wrapText="1"/>
    </xf>
    <xf numFmtId="0" fontId="64" fillId="13" borderId="4" xfId="0" applyFont="1" applyFill="1" applyBorder="1" applyAlignment="1">
      <alignment horizontal="left" vertical="center" wrapText="1"/>
    </xf>
    <xf numFmtId="0" fontId="31" fillId="13" borderId="4" xfId="0" applyFont="1" applyFill="1" applyBorder="1" applyAlignment="1">
      <alignment horizontal="left" vertical="center" wrapText="1"/>
    </xf>
    <xf numFmtId="49" fontId="54" fillId="13" borderId="2" xfId="0" applyNumberFormat="1" applyFont="1" applyFill="1" applyBorder="1" applyAlignment="1">
      <alignment horizontal="center" vertical="center"/>
    </xf>
    <xf numFmtId="0" fontId="53" fillId="13" borderId="2" xfId="0" applyFont="1" applyFill="1" applyBorder="1" applyAlignment="1">
      <alignment horizontal="center" vertical="center" wrapText="1"/>
    </xf>
    <xf numFmtId="2" fontId="65" fillId="13" borderId="6" xfId="0" applyNumberFormat="1" applyFont="1" applyFill="1" applyBorder="1" applyAlignment="1">
      <alignment horizontal="center" vertical="center"/>
    </xf>
    <xf numFmtId="0" fontId="54" fillId="0" borderId="2" xfId="0" applyFont="1" applyBorder="1" applyAlignment="1">
      <alignment horizontal="left" vertical="center" wrapText="1"/>
    </xf>
    <xf numFmtId="0" fontId="53" fillId="0" borderId="2" xfId="0" applyFont="1" applyBorder="1" applyAlignment="1">
      <alignment vertical="center" wrapText="1"/>
    </xf>
    <xf numFmtId="0" fontId="31" fillId="0" borderId="2" xfId="0" applyFont="1" applyBorder="1" applyAlignment="1">
      <alignment horizontal="left" vertical="center" wrapText="1"/>
    </xf>
    <xf numFmtId="9" fontId="8" fillId="20" borderId="10" xfId="0" applyNumberFormat="1" applyFont="1" applyFill="1" applyBorder="1" applyAlignment="1">
      <alignment horizontal="center" vertical="center" wrapText="1"/>
    </xf>
    <xf numFmtId="9" fontId="53" fillId="20" borderId="4" xfId="2" applyFont="1" applyFill="1" applyBorder="1" applyAlignment="1">
      <alignment horizontal="center" vertical="center" wrapText="1"/>
    </xf>
    <xf numFmtId="2" fontId="53" fillId="20" borderId="4" xfId="0" applyNumberFormat="1" applyFont="1" applyFill="1" applyBorder="1" applyAlignment="1">
      <alignment horizontal="center" vertical="center" wrapText="1"/>
    </xf>
    <xf numFmtId="2" fontId="54" fillId="20" borderId="4" xfId="0" applyNumberFormat="1" applyFont="1" applyFill="1" applyBorder="1" applyAlignment="1">
      <alignment horizontal="center" vertical="center" wrapText="1"/>
    </xf>
    <xf numFmtId="2" fontId="8" fillId="20" borderId="4" xfId="0" applyNumberFormat="1" applyFont="1" applyFill="1" applyBorder="1" applyAlignment="1">
      <alignment horizontal="center" vertical="center" wrapText="1"/>
    </xf>
    <xf numFmtId="2" fontId="0" fillId="0" borderId="12" xfId="0" applyNumberFormat="1" applyBorder="1" applyAlignment="1">
      <alignment horizontal="center"/>
    </xf>
    <xf numFmtId="0" fontId="54" fillId="18" borderId="4" xfId="0" applyFont="1" applyFill="1" applyBorder="1" applyAlignment="1">
      <alignment horizontal="left" vertical="center" wrapText="1"/>
    </xf>
    <xf numFmtId="0" fontId="63" fillId="13" borderId="2" xfId="0" applyFont="1" applyFill="1" applyBorder="1" applyAlignment="1">
      <alignment horizontal="left" vertical="center" wrapText="1"/>
    </xf>
    <xf numFmtId="0" fontId="53" fillId="13" borderId="2" xfId="0" applyFont="1" applyFill="1" applyBorder="1" applyAlignment="1">
      <alignment horizontal="left" vertical="center" wrapText="1"/>
    </xf>
    <xf numFmtId="49" fontId="53" fillId="13" borderId="2" xfId="0" applyNumberFormat="1" applyFont="1" applyFill="1" applyBorder="1" applyAlignment="1">
      <alignment horizontal="center" vertical="center" wrapText="1"/>
    </xf>
    <xf numFmtId="2" fontId="8" fillId="13" borderId="6" xfId="0" applyNumberFormat="1" applyFont="1" applyFill="1" applyBorder="1" applyAlignment="1">
      <alignment horizontal="center" vertical="center" wrapText="1"/>
    </xf>
    <xf numFmtId="0" fontId="53" fillId="0" borderId="2" xfId="0" applyFont="1" applyBorder="1" applyAlignment="1">
      <alignment horizontal="left" vertical="center" wrapText="1"/>
    </xf>
    <xf numFmtId="9" fontId="8" fillId="20" borderId="8" xfId="0" applyNumberFormat="1" applyFont="1" applyFill="1" applyBorder="1" applyAlignment="1">
      <alignment vertical="center" wrapText="1"/>
    </xf>
    <xf numFmtId="9" fontId="53" fillId="20" borderId="2" xfId="2" applyFont="1" applyFill="1" applyBorder="1" applyAlignment="1">
      <alignment vertical="center" wrapText="1"/>
    </xf>
    <xf numFmtId="2" fontId="53" fillId="20" borderId="2" xfId="0" applyNumberFormat="1" applyFont="1" applyFill="1" applyBorder="1" applyAlignment="1">
      <alignment vertical="center" wrapText="1"/>
    </xf>
    <xf numFmtId="2" fontId="54" fillId="20" borderId="2" xfId="0" applyNumberFormat="1" applyFont="1" applyFill="1" applyBorder="1" applyAlignment="1">
      <alignment vertical="center" wrapText="1"/>
    </xf>
    <xf numFmtId="2" fontId="8" fillId="20" borderId="2" xfId="0" applyNumberFormat="1" applyFont="1" applyFill="1" applyBorder="1" applyAlignment="1">
      <alignment vertical="center" wrapText="1"/>
    </xf>
    <xf numFmtId="166" fontId="63" fillId="0" borderId="10" xfId="0" applyNumberFormat="1" applyFont="1" applyBorder="1" applyAlignment="1">
      <alignment horizontal="center" vertical="center" wrapText="1"/>
    </xf>
    <xf numFmtId="0" fontId="53" fillId="18" borderId="2" xfId="0" applyFont="1" applyFill="1" applyBorder="1" applyAlignment="1">
      <alignment horizontal="left" vertical="center" wrapText="1"/>
    </xf>
    <xf numFmtId="0" fontId="33" fillId="13" borderId="1" xfId="0" applyFont="1" applyFill="1" applyBorder="1" applyAlignment="1">
      <alignment vertical="center" wrapText="1"/>
    </xf>
    <xf numFmtId="0" fontId="66" fillId="24" borderId="14" xfId="0" applyFont="1" applyFill="1" applyBorder="1" applyAlignment="1">
      <alignment wrapText="1"/>
    </xf>
    <xf numFmtId="49" fontId="31" fillId="13" borderId="1" xfId="0" applyNumberFormat="1" applyFont="1" applyFill="1" applyBorder="1" applyAlignment="1">
      <alignment horizontal="center" vertical="center"/>
    </xf>
    <xf numFmtId="0" fontId="66" fillId="0" borderId="2" xfId="0" applyFont="1" applyBorder="1" applyAlignment="1">
      <alignment wrapText="1"/>
    </xf>
    <xf numFmtId="9" fontId="13" fillId="20" borderId="14" xfId="0" applyNumberFormat="1" applyFont="1" applyFill="1" applyBorder="1" applyAlignment="1">
      <alignment horizontal="center" vertical="center"/>
    </xf>
    <xf numFmtId="9" fontId="0" fillId="20" borderId="1" xfId="0" applyNumberFormat="1" applyFill="1" applyBorder="1" applyAlignment="1">
      <alignment horizontal="center" vertical="center"/>
    </xf>
    <xf numFmtId="2" fontId="0" fillId="20" borderId="1" xfId="0" applyNumberFormat="1" applyFill="1" applyBorder="1" applyAlignment="1">
      <alignment horizontal="center" vertical="center"/>
    </xf>
    <xf numFmtId="2" fontId="13" fillId="20" borderId="1" xfId="0" applyNumberFormat="1" applyFont="1" applyFill="1" applyBorder="1" applyAlignment="1">
      <alignment horizontal="center" vertical="center"/>
    </xf>
    <xf numFmtId="0" fontId="31" fillId="18" borderId="1" xfId="0" applyFont="1" applyFill="1" applyBorder="1" applyAlignment="1">
      <alignment vertical="center" wrapText="1"/>
    </xf>
    <xf numFmtId="0" fontId="33" fillId="13" borderId="2" xfId="0" applyFont="1" applyFill="1" applyBorder="1" applyAlignment="1">
      <alignment horizontal="left" vertical="center" wrapText="1"/>
    </xf>
    <xf numFmtId="0" fontId="31" fillId="13" borderId="2" xfId="0" applyFont="1" applyFill="1" applyBorder="1" applyAlignment="1">
      <alignment vertical="center" wrapText="1"/>
    </xf>
    <xf numFmtId="49" fontId="31" fillId="13" borderId="2" xfId="0" applyNumberFormat="1" applyFont="1" applyFill="1" applyBorder="1" applyAlignment="1">
      <alignment horizontal="center" vertical="center"/>
    </xf>
    <xf numFmtId="2" fontId="13" fillId="13" borderId="6" xfId="0" applyNumberFormat="1" applyFont="1" applyFill="1" applyBorder="1" applyAlignment="1">
      <alignment horizontal="center" vertical="center"/>
    </xf>
    <xf numFmtId="0" fontId="31" fillId="0" borderId="2" xfId="0" applyFont="1" applyBorder="1" applyAlignment="1">
      <alignment vertical="center" wrapText="1"/>
    </xf>
    <xf numFmtId="9" fontId="13" fillId="20" borderId="8" xfId="0" applyNumberFormat="1" applyFont="1" applyFill="1" applyBorder="1" applyAlignment="1">
      <alignment horizontal="center" vertical="center"/>
    </xf>
    <xf numFmtId="9" fontId="0" fillId="20" borderId="2" xfId="0" applyNumberFormat="1" applyFill="1" applyBorder="1" applyAlignment="1">
      <alignment horizontal="center" vertical="center"/>
    </xf>
    <xf numFmtId="2" fontId="0" fillId="20" borderId="2" xfId="0" applyNumberFormat="1" applyFill="1" applyBorder="1" applyAlignment="1">
      <alignment horizontal="center" vertical="center"/>
    </xf>
    <xf numFmtId="2" fontId="13" fillId="20" borderId="2" xfId="0" applyNumberFormat="1" applyFont="1" applyFill="1" applyBorder="1" applyAlignment="1">
      <alignment horizontal="center" vertical="center"/>
    </xf>
    <xf numFmtId="0" fontId="31" fillId="18" borderId="2" xfId="0" applyFont="1" applyFill="1" applyBorder="1" applyAlignment="1">
      <alignment vertical="center" wrapText="1"/>
    </xf>
    <xf numFmtId="0" fontId="33" fillId="13" borderId="1"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13" fillId="13" borderId="6" xfId="0" applyFont="1" applyFill="1" applyBorder="1" applyAlignment="1">
      <alignment horizontal="center" vertical="center"/>
    </xf>
    <xf numFmtId="2" fontId="0" fillId="20" borderId="2" xfId="0" applyNumberFormat="1" applyFill="1" applyBorder="1" applyAlignment="1">
      <alignment vertical="center"/>
    </xf>
    <xf numFmtId="0" fontId="0" fillId="20" borderId="2" xfId="0" applyFill="1" applyBorder="1" applyAlignment="1">
      <alignment horizontal="center" vertical="center"/>
    </xf>
    <xf numFmtId="0" fontId="13" fillId="20" borderId="2" xfId="0" applyFont="1" applyFill="1" applyBorder="1" applyAlignment="1">
      <alignment horizontal="center" vertical="center"/>
    </xf>
    <xf numFmtId="0" fontId="33" fillId="13" borderId="4"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33" fillId="13" borderId="2" xfId="0" applyFont="1" applyFill="1" applyBorder="1" applyAlignment="1">
      <alignment vertical="center" wrapText="1"/>
    </xf>
    <xf numFmtId="0" fontId="31" fillId="0" borderId="2" xfId="0" applyFont="1" applyBorder="1" applyAlignment="1">
      <alignment horizontal="center" vertical="center" wrapText="1"/>
    </xf>
    <xf numFmtId="0" fontId="64" fillId="13" borderId="2" xfId="0" applyFont="1" applyFill="1" applyBorder="1" applyAlignment="1">
      <alignment horizontal="left" vertical="center" wrapText="1"/>
    </xf>
    <xf numFmtId="0" fontId="54" fillId="13" borderId="1" xfId="0" applyFont="1" applyFill="1" applyBorder="1" applyAlignment="1">
      <alignment horizontal="left" vertical="center" wrapText="1"/>
    </xf>
    <xf numFmtId="9" fontId="8" fillId="21" borderId="14" xfId="0" applyNumberFormat="1" applyFont="1" applyFill="1" applyBorder="1" applyAlignment="1">
      <alignment horizontal="center" vertical="center" wrapText="1"/>
    </xf>
    <xf numFmtId="9" fontId="53" fillId="21" borderId="1" xfId="2" applyFont="1" applyFill="1" applyBorder="1" applyAlignment="1">
      <alignment horizontal="center" vertical="center" wrapText="1"/>
    </xf>
    <xf numFmtId="2" fontId="53" fillId="21" borderId="1" xfId="0" applyNumberFormat="1" applyFont="1" applyFill="1" applyBorder="1" applyAlignment="1">
      <alignment horizontal="center" vertical="center" wrapText="1"/>
    </xf>
    <xf numFmtId="0" fontId="53" fillId="21" borderId="1" xfId="0" applyFont="1" applyFill="1" applyBorder="1" applyAlignment="1">
      <alignment horizontal="center" vertical="center" wrapText="1"/>
    </xf>
    <xf numFmtId="2" fontId="54" fillId="21" borderId="1" xfId="0" applyNumberFormat="1" applyFont="1" applyFill="1" applyBorder="1" applyAlignment="1">
      <alignment horizontal="center" vertical="center" wrapText="1"/>
    </xf>
    <xf numFmtId="2" fontId="8" fillId="21" borderId="1" xfId="0" applyNumberFormat="1" applyFont="1" applyFill="1" applyBorder="1" applyAlignment="1">
      <alignment horizontal="center" vertical="center" wrapText="1"/>
    </xf>
    <xf numFmtId="166" fontId="8" fillId="0" borderId="15" xfId="0" applyNumberFormat="1" applyFont="1" applyBorder="1" applyAlignment="1">
      <alignment horizontal="center" vertical="center" wrapText="1"/>
    </xf>
    <xf numFmtId="166" fontId="63" fillId="0" borderId="0" xfId="0" applyNumberFormat="1" applyFont="1" applyAlignment="1">
      <alignment horizontal="center" vertical="center" wrapText="1"/>
    </xf>
    <xf numFmtId="0" fontId="54" fillId="18" borderId="1" xfId="0" applyFont="1" applyFill="1" applyBorder="1" applyAlignment="1">
      <alignment horizontal="left" vertical="center" wrapText="1"/>
    </xf>
    <xf numFmtId="0" fontId="33" fillId="13" borderId="3"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54" fillId="13" borderId="2" xfId="0" applyFont="1" applyFill="1" applyBorder="1" applyAlignment="1">
      <alignment vertical="center" wrapText="1"/>
    </xf>
    <xf numFmtId="9" fontId="8" fillId="21" borderId="10" xfId="0" applyNumberFormat="1" applyFont="1" applyFill="1" applyBorder="1" applyAlignment="1">
      <alignment horizontal="center" vertical="center" wrapText="1"/>
    </xf>
    <xf numFmtId="9" fontId="53" fillId="21" borderId="4" xfId="2" applyFont="1" applyFill="1" applyBorder="1" applyAlignment="1">
      <alignment horizontal="center" vertical="center" wrapText="1"/>
    </xf>
    <xf numFmtId="2" fontId="53" fillId="21" borderId="4" xfId="0" applyNumberFormat="1" applyFont="1" applyFill="1" applyBorder="1" applyAlignment="1">
      <alignment horizontal="center" vertical="center" wrapText="1"/>
    </xf>
    <xf numFmtId="2" fontId="54" fillId="21" borderId="4" xfId="0" applyNumberFormat="1" applyFont="1" applyFill="1" applyBorder="1" applyAlignment="1">
      <alignment horizontal="center" vertical="center" wrapText="1"/>
    </xf>
    <xf numFmtId="2" fontId="8" fillId="21" borderId="4" xfId="0" applyNumberFormat="1" applyFont="1" applyFill="1" applyBorder="1" applyAlignment="1">
      <alignment horizontal="center" vertical="center" wrapText="1"/>
    </xf>
    <xf numFmtId="0" fontId="54" fillId="18" borderId="2" xfId="0" applyFont="1" applyFill="1" applyBorder="1" applyAlignment="1">
      <alignment vertical="center" wrapText="1"/>
    </xf>
    <xf numFmtId="0" fontId="31" fillId="13" borderId="1" xfId="0" applyFont="1" applyFill="1" applyBorder="1" applyAlignment="1">
      <alignment vertical="center" wrapText="1"/>
    </xf>
    <xf numFmtId="0" fontId="31" fillId="13" borderId="1" xfId="0" applyFont="1" applyFill="1" applyBorder="1" applyAlignment="1">
      <alignment horizontal="left" vertical="center" wrapText="1"/>
    </xf>
    <xf numFmtId="9" fontId="13" fillId="21" borderId="14" xfId="0" applyNumberFormat="1" applyFont="1" applyFill="1" applyBorder="1" applyAlignment="1">
      <alignment horizontal="center" vertical="center"/>
    </xf>
    <xf numFmtId="9" fontId="0" fillId="21" borderId="1" xfId="0" applyNumberFormat="1" applyFill="1" applyBorder="1" applyAlignment="1">
      <alignment horizontal="center" vertical="center"/>
    </xf>
    <xf numFmtId="2" fontId="0" fillId="21" borderId="1" xfId="0" applyNumberFormat="1" applyFill="1" applyBorder="1" applyAlignment="1">
      <alignment horizontal="center" vertical="center"/>
    </xf>
    <xf numFmtId="2" fontId="13" fillId="21" borderId="1" xfId="0" applyNumberFormat="1" applyFont="1" applyFill="1" applyBorder="1" applyAlignment="1">
      <alignment horizontal="center" vertical="center"/>
    </xf>
    <xf numFmtId="0" fontId="33"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49" fontId="31" fillId="13" borderId="2" xfId="0" applyNumberFormat="1" applyFont="1" applyFill="1" applyBorder="1" applyAlignment="1">
      <alignment horizontal="right" vertical="center"/>
    </xf>
    <xf numFmtId="10" fontId="13" fillId="21" borderId="8" xfId="0" applyNumberFormat="1" applyFont="1" applyFill="1" applyBorder="1" applyAlignment="1">
      <alignment horizontal="center" vertical="center"/>
    </xf>
    <xf numFmtId="10" fontId="13" fillId="21" borderId="2" xfId="0" applyNumberFormat="1" applyFont="1" applyFill="1" applyBorder="1" applyAlignment="1">
      <alignment horizontal="center" vertical="center"/>
    </xf>
    <xf numFmtId="9" fontId="0" fillId="21" borderId="2" xfId="0" applyNumberFormat="1" applyFill="1" applyBorder="1" applyAlignment="1">
      <alignment horizontal="center" vertical="center"/>
    </xf>
    <xf numFmtId="2" fontId="0" fillId="21" borderId="2" xfId="0" applyNumberFormat="1" applyFill="1" applyBorder="1" applyAlignment="1">
      <alignment vertical="center"/>
    </xf>
    <xf numFmtId="2" fontId="0" fillId="21" borderId="2" xfId="0" applyNumberFormat="1" applyFill="1" applyBorder="1" applyAlignment="1">
      <alignment horizontal="center" vertical="center"/>
    </xf>
    <xf numFmtId="2" fontId="13" fillId="21" borderId="2" xfId="0" applyNumberFormat="1" applyFont="1" applyFill="1" applyBorder="1" applyAlignment="1">
      <alignment horizontal="center" vertical="center"/>
    </xf>
    <xf numFmtId="0" fontId="31" fillId="18" borderId="2" xfId="0" applyFont="1" applyFill="1" applyBorder="1" applyAlignment="1">
      <alignment horizontal="center" vertical="center" wrapText="1"/>
    </xf>
    <xf numFmtId="49" fontId="31" fillId="13" borderId="2" xfId="0" applyNumberFormat="1" applyFont="1" applyFill="1" applyBorder="1" applyAlignment="1">
      <alignment horizontal="right" vertical="center" wrapText="1"/>
    </xf>
    <xf numFmtId="9" fontId="13" fillId="21" borderId="8" xfId="0" applyNumberFormat="1" applyFont="1" applyFill="1" applyBorder="1" applyAlignment="1">
      <alignment horizontal="center" vertical="center"/>
    </xf>
    <xf numFmtId="0" fontId="0" fillId="21" borderId="2" xfId="0" applyFill="1" applyBorder="1" applyAlignment="1">
      <alignment horizontal="center" vertical="center"/>
    </xf>
    <xf numFmtId="2" fontId="12" fillId="13" borderId="6" xfId="0" applyNumberFormat="1" applyFont="1" applyFill="1" applyBorder="1" applyAlignment="1">
      <alignment horizontal="center" vertical="center"/>
    </xf>
    <xf numFmtId="0" fontId="33" fillId="13" borderId="2" xfId="0" applyFont="1" applyFill="1" applyBorder="1" applyAlignment="1">
      <alignment horizontal="center" vertical="center" wrapText="1"/>
    </xf>
    <xf numFmtId="0" fontId="66" fillId="24" borderId="8" xfId="0" applyFont="1" applyFill="1" applyBorder="1" applyAlignment="1">
      <alignment wrapText="1"/>
    </xf>
    <xf numFmtId="49" fontId="66" fillId="24" borderId="2" xfId="0" applyNumberFormat="1" applyFont="1" applyFill="1" applyBorder="1" applyAlignment="1">
      <alignment wrapText="1"/>
    </xf>
    <xf numFmtId="0" fontId="31" fillId="18" borderId="4" xfId="0" applyFont="1" applyFill="1" applyBorder="1" applyAlignment="1">
      <alignment horizontal="center" vertical="center" wrapText="1"/>
    </xf>
    <xf numFmtId="2" fontId="7" fillId="5" borderId="6" xfId="0" applyNumberFormat="1" applyFont="1" applyFill="1" applyBorder="1" applyAlignment="1">
      <alignment horizontal="center" vertical="center"/>
    </xf>
    <xf numFmtId="166" fontId="8" fillId="0" borderId="0" xfId="0" applyNumberFormat="1" applyFont="1" applyAlignment="1">
      <alignment horizontal="center" vertical="center" wrapText="1"/>
    </xf>
    <xf numFmtId="0" fontId="31" fillId="18" borderId="0" xfId="0" applyFont="1" applyFill="1" applyAlignment="1">
      <alignment horizontal="center" vertical="center" wrapText="1"/>
    </xf>
    <xf numFmtId="0" fontId="67" fillId="0" borderId="16" xfId="0" applyFont="1" applyBorder="1" applyAlignment="1">
      <alignment horizontal="right" vertical="center" wrapText="1"/>
    </xf>
    <xf numFmtId="0" fontId="67" fillId="0" borderId="5" xfId="0" applyFont="1" applyBorder="1" applyAlignment="1">
      <alignment horizontal="right" vertical="center" wrapText="1"/>
    </xf>
    <xf numFmtId="0" fontId="67" fillId="0" borderId="10" xfId="0" applyFont="1" applyBorder="1" applyAlignment="1">
      <alignment horizontal="right" vertical="center" wrapText="1"/>
    </xf>
    <xf numFmtId="2" fontId="7" fillId="8" borderId="6" xfId="0" applyNumberFormat="1" applyFont="1" applyFill="1" applyBorder="1" applyAlignment="1">
      <alignment horizontal="center" vertical="center"/>
    </xf>
    <xf numFmtId="0" fontId="33" fillId="0" borderId="2" xfId="0" applyFont="1" applyBorder="1" applyAlignment="1">
      <alignment horizontal="center" vertical="center" wrapText="1"/>
    </xf>
    <xf numFmtId="49" fontId="66" fillId="0" borderId="2" xfId="0" applyNumberFormat="1" applyFont="1" applyBorder="1" applyAlignment="1">
      <alignment wrapText="1"/>
    </xf>
    <xf numFmtId="9" fontId="13" fillId="0" borderId="8" xfId="0" applyNumberFormat="1" applyFont="1" applyBorder="1" applyAlignment="1">
      <alignment horizontal="center" vertical="center"/>
    </xf>
    <xf numFmtId="10" fontId="13" fillId="0" borderId="2" xfId="0" applyNumberFormat="1" applyFont="1" applyBorder="1" applyAlignment="1">
      <alignment horizontal="center" vertical="center"/>
    </xf>
    <xf numFmtId="9" fontId="0" fillId="0" borderId="2" xfId="0" applyNumberFormat="1" applyBorder="1" applyAlignment="1">
      <alignment horizontal="center" vertical="center"/>
    </xf>
    <xf numFmtId="2" fontId="0" fillId="0" borderId="2" xfId="0" applyNumberFormat="1" applyBorder="1" applyAlignment="1">
      <alignment vertical="center"/>
    </xf>
    <xf numFmtId="2" fontId="0" fillId="0" borderId="2" xfId="0" applyNumberFormat="1" applyBorder="1" applyAlignment="1">
      <alignment horizontal="center" vertical="center"/>
    </xf>
    <xf numFmtId="2" fontId="13" fillId="0" borderId="2" xfId="0" applyNumberFormat="1" applyFont="1" applyBorder="1" applyAlignment="1">
      <alignment horizontal="center" vertical="center"/>
    </xf>
    <xf numFmtId="0" fontId="32"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2" fontId="5" fillId="6" borderId="2" xfId="0" applyNumberFormat="1" applyFont="1" applyFill="1" applyBorder="1" applyAlignment="1">
      <alignment horizontal="center" vertical="center" wrapText="1"/>
    </xf>
    <xf numFmtId="2" fontId="50" fillId="6" borderId="6"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5" fillId="22" borderId="8" xfId="0" applyNumberFormat="1" applyFont="1" applyFill="1" applyBorder="1" applyAlignment="1">
      <alignment horizontal="center" vertical="center" wrapText="1"/>
    </xf>
    <xf numFmtId="9" fontId="5" fillId="22" borderId="2" xfId="2" applyFont="1" applyFill="1" applyBorder="1" applyAlignment="1">
      <alignment horizontal="center" vertical="center" wrapText="1"/>
    </xf>
    <xf numFmtId="2" fontId="5" fillId="22" borderId="2" xfId="0" applyNumberFormat="1" applyFont="1" applyFill="1" applyBorder="1" applyAlignment="1">
      <alignment horizontal="center" vertical="center" wrapText="1"/>
    </xf>
    <xf numFmtId="2" fontId="12" fillId="22" borderId="2"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32" fillId="6" borderId="4" xfId="0" applyFont="1" applyFill="1" applyBorder="1" applyAlignment="1">
      <alignment horizontal="center" vertical="center" wrapText="1"/>
    </xf>
    <xf numFmtId="2" fontId="10" fillId="8" borderId="12" xfId="0" applyNumberFormat="1" applyFont="1" applyFill="1" applyBorder="1" applyAlignment="1">
      <alignment horizontal="center" vertical="center"/>
    </xf>
    <xf numFmtId="9" fontId="13" fillId="18" borderId="14" xfId="0" applyNumberFormat="1" applyFont="1" applyFill="1" applyBorder="1" applyAlignment="1">
      <alignment horizontal="center" vertical="center"/>
    </xf>
    <xf numFmtId="10" fontId="13" fillId="18" borderId="1" xfId="0" applyNumberFormat="1" applyFont="1" applyFill="1" applyBorder="1" applyAlignment="1">
      <alignment horizontal="center" vertical="center"/>
    </xf>
    <xf numFmtId="9" fontId="0" fillId="18" borderId="1" xfId="0" applyNumberFormat="1" applyFill="1" applyBorder="1" applyAlignment="1">
      <alignment horizontal="center" vertical="center"/>
    </xf>
    <xf numFmtId="2" fontId="0" fillId="18" borderId="1" xfId="0" applyNumberFormat="1" applyFill="1" applyBorder="1" applyAlignment="1">
      <alignment vertical="center"/>
    </xf>
    <xf numFmtId="2" fontId="0" fillId="18" borderId="1" xfId="0" applyNumberFormat="1" applyFill="1" applyBorder="1" applyAlignment="1">
      <alignment horizontal="center" vertical="center"/>
    </xf>
    <xf numFmtId="2" fontId="13" fillId="18" borderId="1" xfId="0" applyNumberFormat="1" applyFont="1" applyFill="1" applyBorder="1" applyAlignment="1">
      <alignment horizontal="center" vertical="center"/>
    </xf>
    <xf numFmtId="0" fontId="32" fillId="21" borderId="29" xfId="0" applyFont="1" applyFill="1" applyBorder="1" applyAlignment="1">
      <alignment horizontal="center" vertical="center" wrapText="1"/>
    </xf>
    <xf numFmtId="0" fontId="9" fillId="21" borderId="30" xfId="0" applyFont="1" applyFill="1" applyBorder="1" applyAlignment="1">
      <alignment horizontal="center" vertical="center" wrapText="1"/>
    </xf>
    <xf numFmtId="0" fontId="5" fillId="21" borderId="31" xfId="0" applyFont="1" applyFill="1" applyBorder="1" applyAlignment="1">
      <alignment horizontal="center" vertical="center" wrapText="1"/>
    </xf>
    <xf numFmtId="0" fontId="32" fillId="21" borderId="1" xfId="0" applyFont="1" applyFill="1" applyBorder="1" applyAlignment="1">
      <alignment horizontal="center" vertical="center" wrapText="1"/>
    </xf>
    <xf numFmtId="49" fontId="5" fillId="21" borderId="2" xfId="0" applyNumberFormat="1" applyFont="1" applyFill="1" applyBorder="1" applyAlignment="1">
      <alignment horizontal="center" vertical="center" wrapText="1"/>
    </xf>
    <xf numFmtId="0" fontId="5" fillId="21" borderId="2" xfId="0" applyFont="1" applyFill="1" applyBorder="1" applyAlignment="1">
      <alignment horizontal="center" vertical="center" wrapText="1"/>
    </xf>
    <xf numFmtId="2" fontId="12" fillId="21" borderId="6"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5" fillId="25" borderId="8" xfId="0" applyNumberFormat="1" applyFont="1" applyFill="1" applyBorder="1" applyAlignment="1">
      <alignment horizontal="center" vertical="center" wrapText="1"/>
    </xf>
    <xf numFmtId="9" fontId="5" fillId="25" borderId="2" xfId="2" applyFont="1" applyFill="1" applyBorder="1" applyAlignment="1">
      <alignment horizontal="center" vertical="center" wrapText="1"/>
    </xf>
    <xf numFmtId="2" fontId="5" fillId="25" borderId="2" xfId="0" applyNumberFormat="1" applyFont="1" applyFill="1" applyBorder="1" applyAlignment="1">
      <alignment horizontal="center" vertical="center" wrapText="1"/>
    </xf>
    <xf numFmtId="0" fontId="5" fillId="25" borderId="2" xfId="0" applyFont="1" applyFill="1" applyBorder="1" applyAlignment="1">
      <alignment horizontal="center" vertical="center" wrapText="1"/>
    </xf>
    <xf numFmtId="2" fontId="12" fillId="25" borderId="25" xfId="0" applyNumberFormat="1" applyFont="1" applyFill="1" applyBorder="1" applyAlignment="1">
      <alignment horizontal="center" vertical="center" wrapText="1"/>
    </xf>
    <xf numFmtId="0" fontId="0" fillId="0" borderId="22" xfId="0" applyBorder="1" applyAlignment="1">
      <alignment horizontal="center"/>
    </xf>
    <xf numFmtId="0" fontId="32" fillId="21" borderId="32" xfId="0" applyFont="1" applyFill="1" applyBorder="1" applyAlignment="1">
      <alignment horizontal="center" vertical="center" wrapText="1"/>
    </xf>
    <xf numFmtId="0" fontId="9" fillId="21" borderId="33"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32" fillId="21" borderId="3" xfId="0" applyFont="1" applyFill="1" applyBorder="1" applyAlignment="1">
      <alignment horizontal="center" vertical="center" wrapText="1"/>
    </xf>
    <xf numFmtId="49" fontId="5" fillId="21" borderId="2" xfId="0" applyNumberFormat="1" applyFont="1" applyFill="1" applyBorder="1" applyAlignment="1">
      <alignment horizontal="center" vertical="center"/>
    </xf>
    <xf numFmtId="2" fontId="13" fillId="21" borderId="6" xfId="0" applyNumberFormat="1" applyFont="1" applyFill="1" applyBorder="1" applyAlignment="1">
      <alignment horizontal="center" vertical="center"/>
    </xf>
    <xf numFmtId="9" fontId="5" fillId="25" borderId="10" xfId="0" applyNumberFormat="1" applyFont="1" applyFill="1" applyBorder="1" applyAlignment="1">
      <alignment horizontal="center" vertical="center" wrapText="1"/>
    </xf>
    <xf numFmtId="9" fontId="5" fillId="25" borderId="4" xfId="2" applyFont="1" applyFill="1" applyBorder="1" applyAlignment="1">
      <alignment horizontal="center" vertical="center" wrapText="1"/>
    </xf>
    <xf numFmtId="2" fontId="5" fillId="25" borderId="4" xfId="0" applyNumberFormat="1" applyFont="1" applyFill="1" applyBorder="1" applyAlignment="1">
      <alignment horizontal="center" vertical="center" wrapText="1"/>
    </xf>
    <xf numFmtId="0" fontId="5" fillId="25" borderId="4" xfId="0" applyFont="1" applyFill="1" applyBorder="1" applyAlignment="1">
      <alignment horizontal="center" vertical="center" wrapText="1"/>
    </xf>
    <xf numFmtId="2" fontId="12" fillId="25" borderId="34" xfId="0" applyNumberFormat="1" applyFont="1" applyFill="1" applyBorder="1" applyAlignment="1">
      <alignment horizontal="center" vertical="center" wrapText="1"/>
    </xf>
    <xf numFmtId="0" fontId="5" fillId="21" borderId="4" xfId="0" applyFont="1" applyFill="1" applyBorder="1" applyAlignment="1">
      <alignment horizontal="center" vertical="center" wrapText="1"/>
    </xf>
    <xf numFmtId="49" fontId="5" fillId="21" borderId="4" xfId="0" applyNumberFormat="1" applyFont="1" applyFill="1" applyBorder="1" applyAlignment="1">
      <alignment horizontal="center" vertical="center" wrapText="1"/>
    </xf>
    <xf numFmtId="2" fontId="5" fillId="21" borderId="4" xfId="0" applyNumberFormat="1" applyFont="1" applyFill="1" applyBorder="1" applyAlignment="1">
      <alignment horizontal="center" vertical="center" wrapText="1"/>
    </xf>
    <xf numFmtId="2" fontId="12" fillId="21" borderId="16" xfId="0" applyNumberFormat="1" applyFont="1" applyFill="1" applyBorder="1" applyAlignment="1">
      <alignment horizontal="center" vertical="center" wrapText="1"/>
    </xf>
    <xf numFmtId="0" fontId="5" fillId="21" borderId="1" xfId="0" applyFont="1" applyFill="1" applyBorder="1" applyAlignment="1">
      <alignment horizontal="center" vertical="center" wrapText="1"/>
    </xf>
    <xf numFmtId="2" fontId="5" fillId="21" borderId="2" xfId="0" applyNumberFormat="1" applyFont="1" applyFill="1" applyBorder="1" applyAlignment="1">
      <alignment horizontal="center" vertical="center" wrapText="1"/>
    </xf>
    <xf numFmtId="2" fontId="12" fillId="21" borderId="2" xfId="0" applyNumberFormat="1" applyFont="1" applyFill="1" applyBorder="1" applyAlignment="1">
      <alignment horizontal="center" vertical="center" wrapText="1"/>
    </xf>
    <xf numFmtId="9" fontId="5" fillId="25" borderId="9" xfId="0" applyNumberFormat="1" applyFont="1" applyFill="1" applyBorder="1" applyAlignment="1">
      <alignment horizontal="center" vertical="center" wrapText="1"/>
    </xf>
    <xf numFmtId="9" fontId="5" fillId="25" borderId="3" xfId="2" applyFont="1" applyFill="1" applyBorder="1" applyAlignment="1">
      <alignment horizontal="center" vertical="center" wrapText="1"/>
    </xf>
    <xf numFmtId="2" fontId="5" fillId="25" borderId="3" xfId="0" applyNumberFormat="1" applyFont="1" applyFill="1" applyBorder="1" applyAlignment="1">
      <alignment horizontal="center" vertical="center" wrapText="1"/>
    </xf>
    <xf numFmtId="2" fontId="12" fillId="25" borderId="32" xfId="0" applyNumberFormat="1" applyFont="1" applyFill="1" applyBorder="1" applyAlignment="1">
      <alignment horizontal="center" vertical="center" wrapText="1"/>
    </xf>
    <xf numFmtId="0" fontId="9" fillId="21" borderId="35" xfId="0" applyFont="1" applyFill="1" applyBorder="1" applyAlignment="1">
      <alignment horizontal="center" vertical="center" wrapText="1"/>
    </xf>
    <xf numFmtId="0" fontId="5" fillId="21" borderId="36" xfId="0" applyFont="1" applyFill="1" applyBorder="1" applyAlignment="1">
      <alignment horizontal="center" vertical="center" wrapText="1"/>
    </xf>
    <xf numFmtId="0" fontId="32" fillId="21" borderId="4" xfId="0" applyFont="1" applyFill="1" applyBorder="1" applyAlignment="1">
      <alignment horizontal="center" vertical="center" wrapText="1"/>
    </xf>
    <xf numFmtId="2" fontId="12" fillId="21" borderId="2" xfId="0" applyNumberFormat="1" applyFont="1" applyFill="1" applyBorder="1" applyAlignment="1">
      <alignment horizontal="center" vertical="center"/>
    </xf>
    <xf numFmtId="9" fontId="5" fillId="25" borderId="37" xfId="0" applyNumberFormat="1" applyFont="1" applyFill="1" applyBorder="1" applyAlignment="1">
      <alignment horizontal="center" vertical="center" wrapText="1"/>
    </xf>
    <xf numFmtId="9" fontId="5" fillId="25" borderId="36" xfId="2" applyFont="1" applyFill="1" applyBorder="1" applyAlignment="1">
      <alignment horizontal="center" vertical="center" wrapText="1"/>
    </xf>
    <xf numFmtId="2" fontId="5" fillId="25" borderId="36" xfId="0" applyNumberFormat="1" applyFont="1" applyFill="1" applyBorder="1" applyAlignment="1">
      <alignment horizontal="center" vertical="center" wrapText="1"/>
    </xf>
    <xf numFmtId="0" fontId="5" fillId="25" borderId="36" xfId="0" applyFont="1" applyFill="1" applyBorder="1" applyAlignment="1">
      <alignment horizontal="center" vertical="center" wrapText="1"/>
    </xf>
    <xf numFmtId="2" fontId="12" fillId="25" borderId="38" xfId="0" applyNumberFormat="1" applyFont="1" applyFill="1" applyBorder="1" applyAlignment="1">
      <alignment horizontal="center" vertical="center" wrapText="1"/>
    </xf>
    <xf numFmtId="0" fontId="32" fillId="21" borderId="2" xfId="0" applyFont="1" applyFill="1" applyBorder="1" applyAlignment="1">
      <alignment vertical="center" wrapText="1"/>
    </xf>
    <xf numFmtId="49" fontId="5" fillId="21" borderId="3" xfId="0" applyNumberFormat="1" applyFont="1" applyFill="1" applyBorder="1" applyAlignment="1">
      <alignment horizontal="center" vertical="center"/>
    </xf>
    <xf numFmtId="0" fontId="5" fillId="21" borderId="15" xfId="0" applyFont="1" applyFill="1" applyBorder="1" applyAlignment="1">
      <alignment horizontal="center" vertical="center" wrapText="1"/>
    </xf>
    <xf numFmtId="2" fontId="13" fillId="21" borderId="2" xfId="0" applyNumberFormat="1" applyFont="1" applyFill="1" applyBorder="1"/>
    <xf numFmtId="9" fontId="5" fillId="26" borderId="39" xfId="0" applyNumberFormat="1" applyFont="1" applyFill="1" applyBorder="1" applyAlignment="1">
      <alignment horizontal="center" vertical="center"/>
    </xf>
    <xf numFmtId="9" fontId="5" fillId="26" borderId="17" xfId="0" applyNumberFormat="1" applyFont="1" applyFill="1" applyBorder="1" applyAlignment="1">
      <alignment horizontal="center" vertical="center"/>
    </xf>
    <xf numFmtId="2" fontId="5" fillId="26" borderId="17" xfId="0" applyNumberFormat="1" applyFont="1" applyFill="1" applyBorder="1" applyAlignment="1">
      <alignment horizontal="center" vertical="center"/>
    </xf>
    <xf numFmtId="2" fontId="12" fillId="26" borderId="40" xfId="0" applyNumberFormat="1" applyFont="1" applyFill="1" applyBorder="1" applyAlignment="1">
      <alignment horizontal="center" vertical="center"/>
    </xf>
    <xf numFmtId="2" fontId="0" fillId="0" borderId="22" xfId="0" applyNumberFormat="1" applyBorder="1" applyAlignment="1">
      <alignment horizontal="center"/>
    </xf>
    <xf numFmtId="9" fontId="5" fillId="26" borderId="8" xfId="0" applyNumberFormat="1" applyFont="1" applyFill="1" applyBorder="1" applyAlignment="1">
      <alignment horizontal="center" vertical="center" wrapText="1"/>
    </xf>
    <xf numFmtId="9" fontId="5" fillId="26" borderId="2" xfId="2" applyFont="1" applyFill="1" applyBorder="1" applyAlignment="1">
      <alignment horizontal="center" vertical="center" wrapText="1"/>
    </xf>
    <xf numFmtId="2" fontId="5" fillId="26" borderId="2" xfId="0" applyNumberFormat="1" applyFont="1" applyFill="1" applyBorder="1" applyAlignment="1">
      <alignment horizontal="center" vertical="center" wrapText="1"/>
    </xf>
    <xf numFmtId="2" fontId="12" fillId="26" borderId="25" xfId="0" applyNumberFormat="1" applyFont="1" applyFill="1" applyBorder="1" applyAlignment="1">
      <alignment horizontal="center" vertical="center" wrapText="1"/>
    </xf>
    <xf numFmtId="49" fontId="5" fillId="21" borderId="4" xfId="0" quotePrefix="1" applyNumberFormat="1" applyFont="1" applyFill="1" applyBorder="1" applyAlignment="1">
      <alignment horizontal="center" vertical="center" wrapText="1"/>
    </xf>
    <xf numFmtId="9" fontId="5" fillId="26" borderId="10" xfId="0" applyNumberFormat="1" applyFont="1" applyFill="1" applyBorder="1" applyAlignment="1">
      <alignment horizontal="center" vertical="center" wrapText="1"/>
    </xf>
    <xf numFmtId="9" fontId="5" fillId="26" borderId="4" xfId="2" applyFont="1" applyFill="1" applyBorder="1" applyAlignment="1">
      <alignment horizontal="center" vertical="center" wrapText="1"/>
    </xf>
    <xf numFmtId="2" fontId="5" fillId="26" borderId="4" xfId="0" applyNumberFormat="1" applyFont="1" applyFill="1" applyBorder="1" applyAlignment="1">
      <alignment horizontal="center" vertical="center" wrapText="1"/>
    </xf>
    <xf numFmtId="2" fontId="12" fillId="26" borderId="34" xfId="0" applyNumberFormat="1" applyFont="1" applyFill="1" applyBorder="1" applyAlignment="1">
      <alignment horizontal="center" vertical="center" wrapText="1"/>
    </xf>
    <xf numFmtId="0" fontId="9" fillId="21" borderId="36" xfId="0" applyFont="1" applyFill="1" applyBorder="1" applyAlignment="1">
      <alignment horizontal="center" vertical="center" wrapText="1"/>
    </xf>
    <xf numFmtId="49" fontId="5" fillId="21" borderId="18" xfId="0" applyNumberFormat="1" applyFont="1" applyFill="1" applyBorder="1" applyAlignment="1">
      <alignment horizontal="center" vertical="center"/>
    </xf>
    <xf numFmtId="0" fontId="5" fillId="21" borderId="18" xfId="0" applyFont="1" applyFill="1" applyBorder="1" applyAlignment="1">
      <alignment horizontal="center" vertical="center" wrapText="1"/>
    </xf>
    <xf numFmtId="2" fontId="12" fillId="21" borderId="41" xfId="0" applyNumberFormat="1" applyFont="1" applyFill="1" applyBorder="1" applyAlignment="1">
      <alignment horizontal="center" vertical="center" wrapText="1"/>
    </xf>
    <xf numFmtId="2" fontId="12" fillId="21" borderId="12" xfId="0" applyNumberFormat="1" applyFont="1" applyFill="1" applyBorder="1" applyAlignment="1">
      <alignment horizontal="center" vertical="center" wrapText="1"/>
    </xf>
    <xf numFmtId="9" fontId="5" fillId="26" borderId="37" xfId="0" applyNumberFormat="1" applyFont="1" applyFill="1" applyBorder="1" applyAlignment="1">
      <alignment horizontal="center" vertical="center" wrapText="1"/>
    </xf>
    <xf numFmtId="9" fontId="5" fillId="26" borderId="36" xfId="2" applyFont="1" applyFill="1" applyBorder="1" applyAlignment="1">
      <alignment horizontal="center" vertical="center" wrapText="1"/>
    </xf>
    <xf numFmtId="2" fontId="5" fillId="26" borderId="36" xfId="0" applyNumberFormat="1" applyFont="1" applyFill="1" applyBorder="1" applyAlignment="1">
      <alignment horizontal="center" vertical="center" wrapText="1"/>
    </xf>
    <xf numFmtId="0" fontId="5" fillId="26" borderId="36" xfId="0" applyFont="1" applyFill="1" applyBorder="1" applyAlignment="1">
      <alignment horizontal="center" vertical="center" wrapText="1"/>
    </xf>
    <xf numFmtId="2" fontId="12" fillId="26" borderId="38" xfId="0" applyNumberFormat="1" applyFont="1" applyFill="1" applyBorder="1" applyAlignment="1">
      <alignment horizontal="center" vertical="center" wrapText="1"/>
    </xf>
    <xf numFmtId="0" fontId="9" fillId="21" borderId="19" xfId="0" applyFont="1" applyFill="1" applyBorder="1" applyAlignment="1">
      <alignment horizontal="center" vertical="center" wrapText="1"/>
    </xf>
    <xf numFmtId="0" fontId="32" fillId="21" borderId="31" xfId="0" applyFont="1" applyFill="1" applyBorder="1" applyAlignment="1">
      <alignment horizontal="center" vertical="center" wrapText="1"/>
    </xf>
    <xf numFmtId="49" fontId="5" fillId="21" borderId="17" xfId="0" applyNumberFormat="1" applyFont="1" applyFill="1" applyBorder="1" applyAlignment="1">
      <alignment horizontal="center" vertical="center" wrapText="1"/>
    </xf>
    <xf numFmtId="0" fontId="5" fillId="21" borderId="17" xfId="0" applyFont="1" applyFill="1" applyBorder="1" applyAlignment="1">
      <alignment horizontal="center" vertical="center" wrapText="1"/>
    </xf>
    <xf numFmtId="2" fontId="12" fillId="21" borderId="42" xfId="0" applyNumberFormat="1" applyFont="1" applyFill="1" applyBorder="1" applyAlignment="1">
      <alignment horizontal="center" vertical="center" wrapText="1"/>
    </xf>
    <xf numFmtId="9" fontId="5" fillId="3" borderId="39" xfId="2" applyFont="1" applyFill="1" applyBorder="1" applyAlignment="1">
      <alignment horizontal="center" vertical="center"/>
    </xf>
    <xf numFmtId="9" fontId="5" fillId="3" borderId="17" xfId="2" applyFont="1" applyFill="1" applyBorder="1" applyAlignment="1">
      <alignment horizontal="center" vertical="center"/>
    </xf>
    <xf numFmtId="2" fontId="5" fillId="3" borderId="17"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9" fillId="21" borderId="22" xfId="0" applyFont="1" applyFill="1" applyBorder="1" applyAlignment="1">
      <alignment horizontal="center" vertical="center" wrapText="1"/>
    </xf>
    <xf numFmtId="9" fontId="5" fillId="3" borderId="8" xfId="2" applyFont="1" applyFill="1" applyBorder="1" applyAlignment="1">
      <alignment horizontal="center" vertical="center"/>
    </xf>
    <xf numFmtId="9" fontId="5" fillId="3" borderId="2" xfId="2" applyFont="1" applyFill="1" applyBorder="1" applyAlignment="1">
      <alignment horizontal="center" vertical="center"/>
    </xf>
    <xf numFmtId="2" fontId="5" fillId="3" borderId="2" xfId="0" applyNumberFormat="1" applyFont="1" applyFill="1" applyBorder="1" applyAlignment="1">
      <alignment horizontal="center" vertical="center"/>
    </xf>
    <xf numFmtId="2" fontId="12" fillId="3" borderId="25" xfId="0" applyNumberFormat="1" applyFont="1" applyFill="1" applyBorder="1" applyAlignment="1">
      <alignment horizontal="center" vertical="center"/>
    </xf>
    <xf numFmtId="0" fontId="5" fillId="21" borderId="4" xfId="0" applyFont="1" applyFill="1" applyBorder="1" applyAlignment="1">
      <alignment horizontal="center" vertical="center" wrapText="1"/>
    </xf>
    <xf numFmtId="0" fontId="5" fillId="21" borderId="2" xfId="0" applyFont="1" applyFill="1" applyBorder="1" applyAlignment="1">
      <alignment vertical="center" wrapText="1"/>
    </xf>
    <xf numFmtId="0" fontId="32" fillId="21" borderId="36" xfId="0" applyFont="1" applyFill="1" applyBorder="1" applyAlignment="1">
      <alignment horizontal="center" vertical="center" wrapText="1"/>
    </xf>
    <xf numFmtId="49" fontId="5" fillId="21" borderId="18" xfId="0" applyNumberFormat="1" applyFont="1" applyFill="1" applyBorder="1" applyAlignment="1">
      <alignment vertical="center"/>
    </xf>
    <xf numFmtId="0" fontId="5" fillId="21" borderId="41" xfId="0" applyFont="1" applyFill="1" applyBorder="1" applyAlignment="1">
      <alignment vertical="center" wrapText="1"/>
    </xf>
    <xf numFmtId="2" fontId="12" fillId="21" borderId="41" xfId="0" applyNumberFormat="1" applyFont="1" applyFill="1" applyBorder="1" applyAlignment="1">
      <alignment vertical="center"/>
    </xf>
    <xf numFmtId="2" fontId="12" fillId="21" borderId="12" xfId="0" applyNumberFormat="1" applyFont="1" applyFill="1" applyBorder="1" applyAlignment="1">
      <alignment vertical="center"/>
    </xf>
    <xf numFmtId="9" fontId="5" fillId="3" borderId="14" xfId="0"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2" fontId="12" fillId="3" borderId="29" xfId="0" applyNumberFormat="1" applyFont="1" applyFill="1" applyBorder="1" applyAlignment="1">
      <alignment horizontal="center" vertical="center"/>
    </xf>
    <xf numFmtId="0" fontId="9" fillId="21" borderId="43" xfId="0" applyFont="1" applyFill="1" applyBorder="1" applyAlignment="1">
      <alignment horizontal="center" vertical="center" wrapText="1"/>
    </xf>
    <xf numFmtId="9" fontId="5" fillId="16" borderId="39" xfId="0" applyNumberFormat="1" applyFont="1" applyFill="1" applyBorder="1" applyAlignment="1">
      <alignment horizontal="center" vertical="center"/>
    </xf>
    <xf numFmtId="9" fontId="5" fillId="16" borderId="17" xfId="0" applyNumberFormat="1" applyFont="1" applyFill="1" applyBorder="1" applyAlignment="1">
      <alignment horizontal="center" vertical="center"/>
    </xf>
    <xf numFmtId="2" fontId="5" fillId="16" borderId="17" xfId="0" applyNumberFormat="1" applyFont="1" applyFill="1" applyBorder="1" applyAlignment="1">
      <alignment horizontal="center" vertical="center"/>
    </xf>
    <xf numFmtId="2" fontId="12" fillId="16" borderId="40" xfId="0" applyNumberFormat="1" applyFont="1" applyFill="1" applyBorder="1" applyAlignment="1">
      <alignment horizontal="center" vertical="center"/>
    </xf>
    <xf numFmtId="0" fontId="9" fillId="21" borderId="44" xfId="0" applyFont="1" applyFill="1" applyBorder="1" applyAlignment="1">
      <alignment horizontal="center" vertical="center" wrapText="1"/>
    </xf>
    <xf numFmtId="2" fontId="12" fillId="21" borderId="16" xfId="0" applyNumberFormat="1" applyFont="1" applyFill="1" applyBorder="1" applyAlignment="1">
      <alignment horizontal="center" vertical="center"/>
    </xf>
    <xf numFmtId="9" fontId="5" fillId="16" borderId="10" xfId="0" applyNumberFormat="1" applyFont="1" applyFill="1" applyBorder="1" applyAlignment="1">
      <alignment horizontal="center" vertical="center"/>
    </xf>
    <xf numFmtId="9" fontId="5" fillId="16" borderId="4" xfId="0" applyNumberFormat="1" applyFont="1" applyFill="1" applyBorder="1" applyAlignment="1">
      <alignment horizontal="center" vertical="center"/>
    </xf>
    <xf numFmtId="2" fontId="5" fillId="16" borderId="4" xfId="0" applyNumberFormat="1" applyFont="1" applyFill="1" applyBorder="1" applyAlignment="1">
      <alignment horizontal="center" vertical="center"/>
    </xf>
    <xf numFmtId="2" fontId="12" fillId="16" borderId="34" xfId="0" applyNumberFormat="1" applyFont="1" applyFill="1" applyBorder="1" applyAlignment="1">
      <alignment horizontal="center" vertical="center"/>
    </xf>
    <xf numFmtId="49" fontId="5" fillId="21" borderId="17" xfId="0" applyNumberFormat="1" applyFont="1" applyFill="1" applyBorder="1" applyAlignment="1">
      <alignment horizontal="center" vertical="center"/>
    </xf>
    <xf numFmtId="2" fontId="12" fillId="21" borderId="42" xfId="0" applyNumberFormat="1" applyFont="1" applyFill="1" applyBorder="1" applyAlignment="1">
      <alignment horizontal="center" vertical="center"/>
    </xf>
    <xf numFmtId="0" fontId="9" fillId="21" borderId="24" xfId="0" applyFont="1" applyFill="1" applyBorder="1" applyAlignment="1">
      <alignment horizontal="center" vertical="center" wrapText="1"/>
    </xf>
    <xf numFmtId="2" fontId="12" fillId="21" borderId="6" xfId="0" applyNumberFormat="1" applyFont="1" applyFill="1" applyBorder="1" applyAlignment="1">
      <alignment horizontal="center" vertical="center"/>
    </xf>
    <xf numFmtId="9" fontId="5" fillId="16" borderId="8" xfId="0" applyNumberFormat="1" applyFont="1" applyFill="1" applyBorder="1" applyAlignment="1">
      <alignment horizontal="center" vertical="center"/>
    </xf>
    <xf numFmtId="9" fontId="5" fillId="16" borderId="2" xfId="0" applyNumberFormat="1" applyFont="1" applyFill="1" applyBorder="1" applyAlignment="1">
      <alignment horizontal="center" vertical="center"/>
    </xf>
    <xf numFmtId="2" fontId="5" fillId="16" borderId="2" xfId="0" applyNumberFormat="1" applyFont="1" applyFill="1" applyBorder="1" applyAlignment="1">
      <alignment horizontal="center" vertical="center"/>
    </xf>
    <xf numFmtId="2" fontId="12" fillId="16" borderId="25" xfId="0" applyNumberFormat="1" applyFont="1" applyFill="1" applyBorder="1" applyAlignment="1">
      <alignment horizontal="center" vertical="center"/>
    </xf>
    <xf numFmtId="0" fontId="32" fillId="21" borderId="34" xfId="0" applyFont="1" applyFill="1" applyBorder="1" applyAlignment="1">
      <alignment horizontal="center" vertical="center" wrapText="1"/>
    </xf>
    <xf numFmtId="0" fontId="9" fillId="21" borderId="45" xfId="0" applyFont="1" applyFill="1" applyBorder="1" applyAlignment="1">
      <alignment horizontal="center" vertical="center" wrapText="1"/>
    </xf>
    <xf numFmtId="0" fontId="5" fillId="21" borderId="36" xfId="0" applyFont="1" applyFill="1" applyBorder="1" applyAlignment="1">
      <alignment horizontal="center" vertical="center" wrapText="1"/>
    </xf>
    <xf numFmtId="2" fontId="12" fillId="21" borderId="41" xfId="0" applyNumberFormat="1" applyFont="1" applyFill="1" applyBorder="1" applyAlignment="1">
      <alignment horizontal="center" vertical="center"/>
    </xf>
    <xf numFmtId="2" fontId="12" fillId="21" borderId="12" xfId="0" applyNumberFormat="1" applyFont="1" applyFill="1" applyBorder="1" applyAlignment="1">
      <alignment horizontal="center" vertical="center"/>
    </xf>
    <xf numFmtId="9" fontId="5" fillId="16" borderId="46" xfId="0" applyNumberFormat="1" applyFont="1" applyFill="1" applyBorder="1" applyAlignment="1">
      <alignment horizontal="center" vertical="center"/>
    </xf>
    <xf numFmtId="9" fontId="5" fillId="16" borderId="18" xfId="0" applyNumberFormat="1" applyFont="1" applyFill="1" applyBorder="1" applyAlignment="1">
      <alignment horizontal="center" vertical="center"/>
    </xf>
    <xf numFmtId="2" fontId="5" fillId="16" borderId="18" xfId="0" applyNumberFormat="1" applyFont="1" applyFill="1" applyBorder="1" applyAlignment="1">
      <alignment horizontal="center" vertical="center"/>
    </xf>
    <xf numFmtId="2" fontId="9" fillId="16" borderId="47" xfId="0" applyNumberFormat="1" applyFont="1" applyFill="1" applyBorder="1" applyAlignment="1">
      <alignment horizontal="center" vertical="center"/>
    </xf>
    <xf numFmtId="2" fontId="62" fillId="8" borderId="15" xfId="0" applyNumberFormat="1" applyFont="1" applyFill="1" applyBorder="1" applyAlignment="1">
      <alignment horizontal="center" vertical="center"/>
    </xf>
    <xf numFmtId="9" fontId="5" fillId="27" borderId="9" xfId="0" applyNumberFormat="1" applyFont="1" applyFill="1" applyBorder="1" applyAlignment="1">
      <alignment horizontal="center" vertical="center"/>
    </xf>
    <xf numFmtId="9" fontId="5" fillId="27" borderId="3" xfId="0" applyNumberFormat="1" applyFont="1" applyFill="1" applyBorder="1" applyAlignment="1">
      <alignment horizontal="center" vertical="center"/>
    </xf>
    <xf numFmtId="2" fontId="5" fillId="27" borderId="3" xfId="0" applyNumberFormat="1" applyFont="1" applyFill="1" applyBorder="1" applyAlignment="1">
      <alignment horizontal="center" vertical="center"/>
    </xf>
    <xf numFmtId="2" fontId="9" fillId="27" borderId="3" xfId="0" applyNumberFormat="1" applyFont="1" applyFill="1" applyBorder="1" applyAlignment="1">
      <alignment horizontal="center" vertical="center"/>
    </xf>
    <xf numFmtId="0" fontId="0" fillId="16" borderId="48" xfId="0" applyFill="1" applyBorder="1" applyAlignment="1">
      <alignment horizontal="center" vertical="center" wrapText="1"/>
    </xf>
    <xf numFmtId="0" fontId="9" fillId="16" borderId="43" xfId="0" applyFont="1" applyFill="1" applyBorder="1" applyAlignment="1">
      <alignment horizontal="center" vertical="center" wrapText="1"/>
    </xf>
    <xf numFmtId="0" fontId="0" fillId="16" borderId="14" xfId="0" applyFill="1" applyBorder="1" applyAlignment="1">
      <alignment horizontal="center" vertical="center" wrapText="1"/>
    </xf>
    <xf numFmtId="0" fontId="5" fillId="16" borderId="17" xfId="0" applyFont="1" applyFill="1" applyBorder="1" applyAlignment="1">
      <alignment horizontal="center" vertical="center" wrapText="1"/>
    </xf>
    <xf numFmtId="2" fontId="50" fillId="16" borderId="42" xfId="0" applyNumberFormat="1" applyFont="1" applyFill="1" applyBorder="1" applyAlignment="1">
      <alignment horizontal="center" vertical="center" wrapText="1"/>
    </xf>
    <xf numFmtId="2" fontId="50" fillId="16" borderId="16" xfId="0" applyNumberFormat="1" applyFont="1" applyFill="1" applyBorder="1" applyAlignment="1">
      <alignment horizontal="center" vertical="center" wrapText="1"/>
    </xf>
    <xf numFmtId="9" fontId="68" fillId="18" borderId="39" xfId="0" applyNumberFormat="1" applyFont="1" applyFill="1" applyBorder="1" applyAlignment="1">
      <alignment wrapText="1"/>
    </xf>
    <xf numFmtId="9" fontId="68" fillId="18" borderId="17" xfId="0" applyNumberFormat="1" applyFont="1" applyFill="1" applyBorder="1" applyAlignment="1">
      <alignment wrapText="1"/>
    </xf>
    <xf numFmtId="0" fontId="68" fillId="18" borderId="17" xfId="0" applyFont="1" applyFill="1" applyBorder="1" applyAlignment="1">
      <alignment wrapText="1"/>
    </xf>
    <xf numFmtId="0" fontId="69" fillId="18" borderId="40" xfId="0" applyFont="1" applyFill="1" applyBorder="1" applyAlignment="1">
      <alignment wrapText="1"/>
    </xf>
    <xf numFmtId="2" fontId="0" fillId="0" borderId="0" xfId="0" applyNumberFormat="1" applyAlignment="1">
      <alignment horizontal="center"/>
    </xf>
    <xf numFmtId="0" fontId="0" fillId="16" borderId="49" xfId="0" applyFill="1" applyBorder="1" applyAlignment="1">
      <alignment horizontal="center" vertical="center" wrapText="1"/>
    </xf>
    <xf numFmtId="0" fontId="9" fillId="16" borderId="24" xfId="0" applyFont="1" applyFill="1" applyBorder="1" applyAlignment="1">
      <alignment horizontal="center" vertical="center" wrapText="1"/>
    </xf>
    <xf numFmtId="0" fontId="0" fillId="16" borderId="9" xfId="0" applyFill="1" applyBorder="1" applyAlignment="1">
      <alignment horizontal="center" vertical="center" wrapText="1"/>
    </xf>
    <xf numFmtId="0" fontId="5" fillId="16" borderId="2" xfId="0" applyFont="1" applyFill="1" applyBorder="1" applyAlignment="1">
      <alignment horizontal="center" vertical="center" wrapText="1"/>
    </xf>
    <xf numFmtId="2" fontId="50" fillId="16" borderId="6" xfId="0" applyNumberFormat="1" applyFont="1" applyFill="1" applyBorder="1" applyAlignment="1">
      <alignment horizontal="center" vertical="center" wrapText="1"/>
    </xf>
    <xf numFmtId="9" fontId="68" fillId="18" borderId="8" xfId="0" applyNumberFormat="1" applyFont="1" applyFill="1" applyBorder="1" applyAlignment="1">
      <alignment wrapText="1"/>
    </xf>
    <xf numFmtId="9" fontId="68" fillId="18" borderId="2" xfId="0" applyNumberFormat="1" applyFont="1" applyFill="1" applyBorder="1" applyAlignment="1">
      <alignment wrapText="1"/>
    </xf>
    <xf numFmtId="0" fontId="68" fillId="18" borderId="2" xfId="0" applyFont="1" applyFill="1" applyBorder="1" applyAlignment="1">
      <alignment wrapText="1"/>
    </xf>
    <xf numFmtId="0" fontId="69" fillId="18" borderId="25" xfId="0" applyFont="1" applyFill="1" applyBorder="1" applyAlignment="1">
      <alignment wrapText="1"/>
    </xf>
    <xf numFmtId="0" fontId="70" fillId="18" borderId="25" xfId="0" applyFont="1" applyFill="1" applyBorder="1" applyAlignment="1">
      <alignment wrapText="1"/>
    </xf>
    <xf numFmtId="0" fontId="5" fillId="16" borderId="1"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9" fillId="16" borderId="45" xfId="0" applyFont="1" applyFill="1" applyBorder="1" applyAlignment="1">
      <alignment horizontal="center" vertical="center" wrapText="1"/>
    </xf>
    <xf numFmtId="0" fontId="5" fillId="16" borderId="36" xfId="0" applyFont="1" applyFill="1" applyBorder="1" applyAlignment="1">
      <alignment horizontal="center" vertical="center" wrapText="1"/>
    </xf>
    <xf numFmtId="0" fontId="0" fillId="16" borderId="50" xfId="0" applyFill="1" applyBorder="1" applyAlignment="1">
      <alignment horizontal="center" vertical="center" wrapText="1"/>
    </xf>
    <xf numFmtId="0" fontId="5" fillId="16" borderId="18" xfId="0" applyFont="1" applyFill="1" applyBorder="1" applyAlignment="1">
      <alignment horizontal="center" vertical="center" wrapText="1"/>
    </xf>
    <xf numFmtId="2" fontId="50" fillId="16" borderId="41" xfId="0" applyNumberFormat="1" applyFont="1" applyFill="1" applyBorder="1" applyAlignment="1">
      <alignment horizontal="center" vertical="center" wrapText="1"/>
    </xf>
    <xf numFmtId="2" fontId="50" fillId="16" borderId="12" xfId="0" applyNumberFormat="1" applyFont="1" applyFill="1" applyBorder="1" applyAlignment="1">
      <alignment horizontal="center" vertical="center" wrapText="1"/>
    </xf>
    <xf numFmtId="9" fontId="68" fillId="18" borderId="46" xfId="0" applyNumberFormat="1" applyFont="1" applyFill="1" applyBorder="1" applyAlignment="1">
      <alignment wrapText="1"/>
    </xf>
    <xf numFmtId="9" fontId="68" fillId="18" borderId="18" xfId="0" applyNumberFormat="1" applyFont="1" applyFill="1" applyBorder="1" applyAlignment="1">
      <alignment wrapText="1"/>
    </xf>
    <xf numFmtId="0" fontId="68" fillId="18" borderId="18" xfId="0" applyFont="1" applyFill="1" applyBorder="1" applyAlignment="1">
      <alignment wrapText="1"/>
    </xf>
    <xf numFmtId="0" fontId="70" fillId="18" borderId="47" xfId="0" applyFont="1" applyFill="1" applyBorder="1" applyAlignment="1">
      <alignment wrapText="1"/>
    </xf>
    <xf numFmtId="0" fontId="0" fillId="16" borderId="51" xfId="0" applyFill="1" applyBorder="1" applyAlignment="1">
      <alignment horizontal="center" vertical="center"/>
    </xf>
    <xf numFmtId="9" fontId="68" fillId="4" borderId="39" xfId="0" applyNumberFormat="1" applyFont="1" applyFill="1" applyBorder="1" applyAlignment="1">
      <alignment wrapText="1"/>
    </xf>
    <xf numFmtId="0" fontId="68" fillId="4" borderId="39" xfId="0" applyFont="1" applyFill="1" applyBorder="1" applyAlignment="1">
      <alignment wrapText="1"/>
    </xf>
    <xf numFmtId="0" fontId="70" fillId="4" borderId="52" xfId="0" applyFont="1" applyFill="1" applyBorder="1" applyAlignment="1">
      <alignment wrapText="1"/>
    </xf>
    <xf numFmtId="0" fontId="0" fillId="16" borderId="3" xfId="0" applyFill="1" applyBorder="1" applyAlignment="1">
      <alignment horizontal="center" vertical="center"/>
    </xf>
    <xf numFmtId="9" fontId="68" fillId="4" borderId="10" xfId="0" applyNumberFormat="1" applyFont="1" applyFill="1" applyBorder="1" applyAlignment="1">
      <alignment wrapText="1"/>
    </xf>
    <xf numFmtId="0" fontId="68" fillId="4" borderId="10" xfId="0" applyFont="1" applyFill="1" applyBorder="1" applyAlignment="1">
      <alignment wrapText="1"/>
    </xf>
    <xf numFmtId="0" fontId="70" fillId="4" borderId="53" xfId="0" applyFont="1" applyFill="1" applyBorder="1" applyAlignment="1">
      <alignment wrapText="1"/>
    </xf>
    <xf numFmtId="0" fontId="0" fillId="16" borderId="54" xfId="0" applyFill="1" applyBorder="1" applyAlignment="1">
      <alignment horizontal="center" vertical="center"/>
    </xf>
    <xf numFmtId="9" fontId="68" fillId="4" borderId="37" xfId="0" applyNumberFormat="1" applyFont="1" applyFill="1" applyBorder="1" applyAlignment="1">
      <alignment wrapText="1"/>
    </xf>
    <xf numFmtId="0" fontId="68" fillId="4" borderId="37" xfId="0" applyFont="1" applyFill="1" applyBorder="1" applyAlignment="1">
      <alignment wrapText="1"/>
    </xf>
    <xf numFmtId="0" fontId="70" fillId="4" borderId="28" xfId="0" applyFont="1" applyFill="1" applyBorder="1" applyAlignment="1">
      <alignment wrapText="1"/>
    </xf>
    <xf numFmtId="0" fontId="0" fillId="16" borderId="55" xfId="0" applyFill="1" applyBorder="1" applyAlignment="1">
      <alignment horizontal="center" vertical="center" wrapText="1"/>
    </xf>
    <xf numFmtId="0" fontId="9" fillId="16" borderId="56" xfId="0" applyFont="1" applyFill="1" applyBorder="1" applyAlignment="1">
      <alignment horizontal="center" vertical="center" wrapText="1"/>
    </xf>
    <xf numFmtId="0" fontId="5" fillId="16" borderId="57" xfId="0" applyFont="1" applyFill="1" applyBorder="1" applyAlignment="1">
      <alignment horizontal="center" vertical="center" wrapText="1"/>
    </xf>
    <xf numFmtId="0" fontId="0" fillId="16" borderId="58" xfId="0" applyFill="1" applyBorder="1" applyAlignment="1">
      <alignment vertical="center"/>
    </xf>
    <xf numFmtId="2" fontId="50" fillId="16" borderId="59" xfId="0" applyNumberFormat="1" applyFont="1" applyFill="1" applyBorder="1" applyAlignment="1">
      <alignment horizontal="center" vertical="center" wrapText="1"/>
    </xf>
    <xf numFmtId="2" fontId="50" fillId="16" borderId="15" xfId="0" applyNumberFormat="1" applyFont="1" applyFill="1" applyBorder="1" applyAlignment="1">
      <alignment horizontal="center" vertical="center" wrapText="1"/>
    </xf>
    <xf numFmtId="9" fontId="68" fillId="13" borderId="60" xfId="0" applyNumberFormat="1" applyFont="1" applyFill="1" applyBorder="1" applyAlignment="1">
      <alignment wrapText="1"/>
    </xf>
    <xf numFmtId="0" fontId="68" fillId="13" borderId="60" xfId="0" applyFont="1" applyFill="1" applyBorder="1" applyAlignment="1">
      <alignment wrapText="1"/>
    </xf>
    <xf numFmtId="0" fontId="70" fillId="13" borderId="61" xfId="0" applyFont="1" applyFill="1" applyBorder="1" applyAlignment="1">
      <alignment wrapText="1"/>
    </xf>
    <xf numFmtId="2" fontId="0" fillId="0" borderId="0" xfId="0" applyNumberFormat="1"/>
    <xf numFmtId="2" fontId="10" fillId="8" borderId="0" xfId="0" applyNumberFormat="1" applyFont="1" applyFill="1"/>
    <xf numFmtId="0" fontId="9" fillId="28" borderId="62" xfId="0" applyFont="1" applyFill="1" applyBorder="1" applyAlignment="1">
      <alignment horizontal="center" vertical="center" wrapText="1"/>
    </xf>
    <xf numFmtId="2" fontId="30" fillId="5" borderId="0" xfId="0" applyNumberFormat="1" applyFont="1" applyFill="1"/>
    <xf numFmtId="0" fontId="8" fillId="0" borderId="2" xfId="0" applyFont="1" applyBorder="1" applyAlignment="1">
      <alignment horizontal="center" vertical="center" wrapText="1"/>
    </xf>
    <xf numFmtId="0" fontId="71" fillId="0" borderId="2" xfId="0" applyFont="1" applyBorder="1"/>
    <xf numFmtId="0" fontId="72" fillId="0" borderId="0" xfId="0" applyFont="1"/>
    <xf numFmtId="0" fontId="10" fillId="5" borderId="0" xfId="0" applyFont="1" applyFill="1"/>
  </cellXfs>
  <cellStyles count="11">
    <cellStyle name="Entrada" xfId="7" builtinId="20"/>
    <cellStyle name="Millares" xfId="4" builtinId="3"/>
    <cellStyle name="Moneda" xfId="1" builtinId="4"/>
    <cellStyle name="Moneda 2" xfId="9" xr:uid="{B38D33CF-8184-4E1B-A266-186A6F618B85}"/>
    <cellStyle name="Moneda 3" xfId="8" xr:uid="{90FA7581-DA6F-4F05-AEA4-66F59AA8067A}"/>
    <cellStyle name="Moneda 4" xfId="10" xr:uid="{94AC35C7-04BE-4FCE-80EE-B3DFB5793AF0}"/>
    <cellStyle name="Neutral" xfId="6" builtinId="28"/>
    <cellStyle name="Normal" xfId="0" builtinId="0"/>
    <cellStyle name="Normal 2 3" xfId="5" xr:uid="{00000000-0005-0000-0000-000003000000}"/>
    <cellStyle name="Porcentaje" xfId="2" builtinId="5"/>
    <cellStyle name="Título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74438</xdr:colOff>
      <xdr:row>0</xdr:row>
      <xdr:rowOff>54429</xdr:rowOff>
    </xdr:from>
    <xdr:to>
      <xdr:col>1</xdr:col>
      <xdr:colOff>2035468</xdr:colOff>
      <xdr:row>0</xdr:row>
      <xdr:rowOff>715576</xdr:rowOff>
    </xdr:to>
    <xdr:pic>
      <xdr:nvPicPr>
        <xdr:cNvPr id="3" name="Imagen 2057" descr="WhatsApp Image 2020-07-22 at 14.00.01">
          <a:extLst>
            <a:ext uri="{FF2B5EF4-FFF2-40B4-BE49-F238E27FC236}">
              <a16:creationId xmlns:a16="http://schemas.microsoft.com/office/drawing/2014/main" id="{D7020BB2-53A5-436F-ADD1-3D33F49CD3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38" y="54429"/>
          <a:ext cx="2913530" cy="66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8C0CAE93-3AD1-45DC-8150-002FADE64F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623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1</xdr:row>
      <xdr:rowOff>0</xdr:rowOff>
    </xdr:from>
    <xdr:to>
      <xdr:col>1</xdr:col>
      <xdr:colOff>1994647</xdr:colOff>
      <xdr:row>1</xdr:row>
      <xdr:rowOff>661147</xdr:rowOff>
    </xdr:to>
    <xdr:pic>
      <xdr:nvPicPr>
        <xdr:cNvPr id="2" name="Imagen 2057" descr="WhatsApp Image 2020-07-22 at 14.00.01">
          <a:extLst>
            <a:ext uri="{FF2B5EF4-FFF2-40B4-BE49-F238E27FC236}">
              <a16:creationId xmlns:a16="http://schemas.microsoft.com/office/drawing/2014/main" id="{5D03805B-9805-4D34-B7D3-FC310539B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190500"/>
          <a:ext cx="3170705" cy="63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CF827726-673C-4911-BD6E-9E68A53A67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575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33617</xdr:colOff>
      <xdr:row>0</xdr:row>
      <xdr:rowOff>0</xdr:rowOff>
    </xdr:from>
    <xdr:to>
      <xdr:col>7</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6B43422B-003D-49B7-80A2-27934EDCE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623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74438</xdr:colOff>
      <xdr:row>1</xdr:row>
      <xdr:rowOff>54428</xdr:rowOff>
    </xdr:from>
    <xdr:to>
      <xdr:col>1</xdr:col>
      <xdr:colOff>2035468</xdr:colOff>
      <xdr:row>1</xdr:row>
      <xdr:rowOff>715575</xdr:rowOff>
    </xdr:to>
    <xdr:pic>
      <xdr:nvPicPr>
        <xdr:cNvPr id="2" name="Imagen 2057" descr="WhatsApp Image 2020-07-22 at 14.00.01">
          <a:extLst>
            <a:ext uri="{FF2B5EF4-FFF2-40B4-BE49-F238E27FC236}">
              <a16:creationId xmlns:a16="http://schemas.microsoft.com/office/drawing/2014/main" id="{679503DE-0B2B-4117-BB57-F84F46C58C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38" y="244928"/>
          <a:ext cx="2913530" cy="66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08E06B32-4C2E-44FF-A828-EC1A4F2AA8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66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A2D5F876-9DA2-4A93-9A3C-2230EBB7C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24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33617</xdr:colOff>
      <xdr:row>64</xdr:row>
      <xdr:rowOff>0</xdr:rowOff>
    </xdr:from>
    <xdr:to>
      <xdr:col>1</xdr:col>
      <xdr:colOff>1994647</xdr:colOff>
      <xdr:row>64</xdr:row>
      <xdr:rowOff>661147</xdr:rowOff>
    </xdr:to>
    <xdr:pic>
      <xdr:nvPicPr>
        <xdr:cNvPr id="3" name="Imagen 2057" descr="WhatsApp Image 2020-07-22 at 14.00.01">
          <a:extLst>
            <a:ext uri="{FF2B5EF4-FFF2-40B4-BE49-F238E27FC236}">
              <a16:creationId xmlns:a16="http://schemas.microsoft.com/office/drawing/2014/main" id="{5D97BD5C-3EF6-4BC0-9DB6-AC78B65D8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14678025"/>
          <a:ext cx="2789705" cy="232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F5B22540-F3CD-4C16-9962-93A66CB76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913530" cy="66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4DF7651E-D806-4F3E-B991-E8ACD2A39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789705" cy="556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0C801862-6102-490B-8703-42D6D36B66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1780055" cy="623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B96AF0AE-77A0-4848-85B2-A39CC53AEA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913530" cy="613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33617</xdr:colOff>
      <xdr:row>0</xdr:row>
      <xdr:rowOff>0</xdr:rowOff>
    </xdr:from>
    <xdr:to>
      <xdr:col>1</xdr:col>
      <xdr:colOff>1994647</xdr:colOff>
      <xdr:row>0</xdr:row>
      <xdr:rowOff>661147</xdr:rowOff>
    </xdr:to>
    <xdr:pic>
      <xdr:nvPicPr>
        <xdr:cNvPr id="2" name="Imagen 2057" descr="WhatsApp Image 2020-07-22 at 14.00.01">
          <a:extLst>
            <a:ext uri="{FF2B5EF4-FFF2-40B4-BE49-F238E27FC236}">
              <a16:creationId xmlns:a16="http://schemas.microsoft.com/office/drawing/2014/main" id="{1ADD9541-352E-46A2-95F6-EC0718342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17" y="0"/>
          <a:ext cx="2913530" cy="642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A%202022%20Desarrollo%20So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idad%20de%20Inclusion/Downloads/DESARROLLO%20DEL%20POA%2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A%20base%20Obras%20P&#250;blic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A%20servicios%20bas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NOMINA"/>
      <sheetName val="AM CON DISCAPACIDAD "/>
      <sheetName val="DISCAPACIDADES"/>
      <sheetName val="CDI"/>
      <sheetName val="CENTRO GERONTOLÓGICO "/>
      <sheetName val="ANÁLISIS DE ROLES"/>
    </sheetNames>
    <sheetDataSet>
      <sheetData sheetId="0" refreshError="1"/>
      <sheetData sheetId="1">
        <row r="32">
          <cell r="G32">
            <v>1767.33</v>
          </cell>
          <cell r="H32">
            <v>1178.22</v>
          </cell>
          <cell r="I32">
            <v>1178.22</v>
          </cell>
        </row>
      </sheetData>
      <sheetData sheetId="2" refreshError="1"/>
      <sheetData sheetId="3" refreshError="1"/>
      <sheetData sheetId="4">
        <row r="19">
          <cell r="T19">
            <v>97354.857600000003</v>
          </cell>
        </row>
      </sheetData>
      <sheetData sheetId="5">
        <row r="35">
          <cell r="T35">
            <v>54416.396344444445</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ADULTOS MAYORES"/>
      <sheetName val="ALDULTO MAYOR DISCAPACIDAD"/>
      <sheetName val="DESARROLLO INFANTIL"/>
      <sheetName val="DISCAPACIDADES"/>
      <sheetName val="ANÁLISIS DE ROLES"/>
    </sheetNames>
    <sheetDataSet>
      <sheetData sheetId="0"/>
      <sheetData sheetId="1">
        <row r="23">
          <cell r="R23">
            <v>603.91999999999996</v>
          </cell>
        </row>
        <row r="24">
          <cell r="S24">
            <v>2500</v>
          </cell>
        </row>
        <row r="25">
          <cell r="S25">
            <v>2500</v>
          </cell>
        </row>
        <row r="27">
          <cell r="S27">
            <v>2000</v>
          </cell>
        </row>
      </sheetData>
      <sheetData sheetId="2">
        <row r="19">
          <cell r="S19">
            <v>2400</v>
          </cell>
        </row>
        <row r="20">
          <cell r="S20">
            <v>900</v>
          </cell>
        </row>
        <row r="21">
          <cell r="S21">
            <v>1000</v>
          </cell>
        </row>
        <row r="22">
          <cell r="S22">
            <v>300</v>
          </cell>
        </row>
        <row r="24">
          <cell r="S24">
            <v>600</v>
          </cell>
        </row>
        <row r="25">
          <cell r="S25">
            <v>120</v>
          </cell>
        </row>
        <row r="34">
          <cell r="S34">
            <v>600</v>
          </cell>
        </row>
      </sheetData>
      <sheetData sheetId="3">
        <row r="21">
          <cell r="R21">
            <v>22.23</v>
          </cell>
        </row>
        <row r="22">
          <cell r="S22">
            <v>300</v>
          </cell>
        </row>
        <row r="23">
          <cell r="S23">
            <v>4000</v>
          </cell>
        </row>
        <row r="29">
          <cell r="S29">
            <v>1000</v>
          </cell>
        </row>
        <row r="30">
          <cell r="S30">
            <v>3500</v>
          </cell>
        </row>
        <row r="32">
          <cell r="S32">
            <v>3000</v>
          </cell>
        </row>
        <row r="35">
          <cell r="S35">
            <v>3000</v>
          </cell>
        </row>
        <row r="37">
          <cell r="S37">
            <v>5000</v>
          </cell>
        </row>
        <row r="42">
          <cell r="S42">
            <v>400</v>
          </cell>
        </row>
      </sheetData>
      <sheetData sheetId="4">
        <row r="29">
          <cell r="S29">
            <v>2400</v>
          </cell>
        </row>
        <row r="32">
          <cell r="S32">
            <v>600</v>
          </cell>
        </row>
      </sheetData>
      <sheetData sheetId="5">
        <row r="7">
          <cell r="G7">
            <v>3550.8290999999999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OP"/>
      <sheetName val="Nomina"/>
      <sheetName val="Anexo de obras"/>
    </sheetNames>
    <sheetDataSet>
      <sheetData sheetId="0" refreshError="1"/>
      <sheetData sheetId="1">
        <row r="7">
          <cell r="F7">
            <v>15816</v>
          </cell>
        </row>
        <row r="13">
          <cell r="F13">
            <v>6425.16</v>
          </cell>
        </row>
        <row r="15">
          <cell r="G15">
            <v>2645.7090000000003</v>
          </cell>
          <cell r="H15">
            <v>1853.4299999999998</v>
          </cell>
          <cell r="I15">
            <v>1853.4299999999998</v>
          </cell>
          <cell r="J15">
            <v>1275</v>
          </cell>
        </row>
        <row r="24">
          <cell r="F24">
            <v>42684</v>
          </cell>
        </row>
        <row r="31">
          <cell r="F31">
            <v>10368</v>
          </cell>
        </row>
        <row r="33">
          <cell r="G33">
            <v>6268.6860000000006</v>
          </cell>
          <cell r="H33">
            <v>4421</v>
          </cell>
          <cell r="I33">
            <v>4421</v>
          </cell>
          <cell r="J33">
            <v>2550</v>
          </cell>
        </row>
        <row r="42">
          <cell r="F42">
            <v>32724</v>
          </cell>
        </row>
        <row r="79">
          <cell r="F79">
            <v>143761.91999999998</v>
          </cell>
        </row>
        <row r="100">
          <cell r="F100">
            <v>110034</v>
          </cell>
          <cell r="G100">
            <v>35304.837</v>
          </cell>
          <cell r="H100">
            <v>23876.659999999996</v>
          </cell>
          <cell r="I100">
            <v>23876.659999999996</v>
          </cell>
          <cell r="J100">
            <v>19550</v>
          </cell>
        </row>
        <row r="108">
          <cell r="F108">
            <v>26064</v>
          </cell>
        </row>
        <row r="122">
          <cell r="F122">
            <v>47811.839999999997</v>
          </cell>
        </row>
        <row r="124">
          <cell r="G124">
            <v>9012.9359999999997</v>
          </cell>
          <cell r="H124">
            <v>6156.32</v>
          </cell>
          <cell r="I124">
            <v>6156.32</v>
          </cell>
          <cell r="J124">
            <v>4675</v>
          </cell>
        </row>
        <row r="126">
          <cell r="G126">
            <v>9886.5499999999993</v>
          </cell>
          <cell r="H126">
            <v>6591.03</v>
          </cell>
          <cell r="I126">
            <v>6591.03</v>
          </cell>
        </row>
      </sheetData>
      <sheetData sheetId="2">
        <row r="4">
          <cell r="F4">
            <v>80000</v>
          </cell>
        </row>
        <row r="8">
          <cell r="F8">
            <v>19521.900000000001</v>
          </cell>
        </row>
        <row r="24">
          <cell r="F24">
            <v>435226.55</v>
          </cell>
        </row>
        <row r="40">
          <cell r="F40">
            <v>80000</v>
          </cell>
        </row>
        <row r="47">
          <cell r="F47">
            <v>15000</v>
          </cell>
        </row>
        <row r="54">
          <cell r="F54">
            <v>53800</v>
          </cell>
        </row>
        <row r="61">
          <cell r="F61">
            <v>30000</v>
          </cell>
        </row>
        <row r="70">
          <cell r="F70">
            <v>100000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ua"/>
      <sheetName val="alcantarillado"/>
      <sheetName val="NOMINA"/>
      <sheetName val="detalle obras"/>
    </sheetNames>
    <sheetDataSet>
      <sheetData sheetId="0">
        <row r="33">
          <cell r="G33">
            <v>3750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7"/>
  <sheetViews>
    <sheetView topLeftCell="C70" zoomScale="85" zoomScaleNormal="85" workbookViewId="0">
      <selection activeCell="G101" sqref="G101"/>
    </sheetView>
  </sheetViews>
  <sheetFormatPr baseColWidth="10" defaultRowHeight="15" x14ac:dyDescent="0.25"/>
  <cols>
    <col min="1" max="1" width="14.28515625" customWidth="1"/>
    <col min="2" max="2" width="32.85546875" customWidth="1"/>
    <col min="3" max="3" width="41.85546875" customWidth="1"/>
    <col min="4" max="4" width="30.7109375" customWidth="1"/>
    <col min="5" max="5" width="16.85546875" customWidth="1"/>
    <col min="6" max="6" width="44.42578125" customWidth="1"/>
    <col min="7" max="9" width="18.5703125" customWidth="1"/>
    <col min="10" max="10" width="8" customWidth="1"/>
    <col min="11" max="11" width="6.42578125" customWidth="1"/>
    <col min="12" max="12" width="5.85546875" customWidth="1"/>
    <col min="13" max="13" width="6.42578125" customWidth="1"/>
    <col min="14" max="14" width="11.140625" customWidth="1"/>
    <col min="15" max="15" width="10.85546875" customWidth="1"/>
    <col min="16" max="16" width="9.85546875" customWidth="1"/>
    <col min="17" max="17" width="13" customWidth="1"/>
    <col min="18" max="18" width="14" customWidth="1"/>
  </cols>
  <sheetData>
    <row r="1" spans="1:17" ht="60" customHeight="1" x14ac:dyDescent="0.25">
      <c r="A1" s="81"/>
      <c r="B1" s="82"/>
      <c r="C1" s="16" t="s">
        <v>0</v>
      </c>
      <c r="D1" s="91" t="s">
        <v>90</v>
      </c>
      <c r="E1" s="91"/>
      <c r="F1" s="91"/>
      <c r="G1" s="16" t="s">
        <v>1</v>
      </c>
      <c r="H1" s="16"/>
      <c r="I1" s="16"/>
      <c r="J1" s="75"/>
      <c r="K1" s="75"/>
      <c r="L1" s="75"/>
      <c r="M1" s="75"/>
      <c r="N1" s="75"/>
      <c r="O1" s="75"/>
      <c r="P1" s="75"/>
      <c r="Q1" s="75"/>
    </row>
    <row r="2" spans="1:17" ht="30" customHeight="1" x14ac:dyDescent="0.25">
      <c r="A2" s="92" t="s">
        <v>91</v>
      </c>
      <c r="B2" s="92"/>
      <c r="C2" s="17" t="s">
        <v>6</v>
      </c>
      <c r="D2" s="85"/>
      <c r="E2" s="85"/>
      <c r="F2" s="85"/>
      <c r="G2" s="85"/>
      <c r="H2" s="85"/>
      <c r="I2" s="85"/>
      <c r="J2" s="85"/>
      <c r="K2" s="85"/>
      <c r="L2" s="85"/>
      <c r="M2" s="85"/>
      <c r="N2" s="85"/>
      <c r="O2" s="85"/>
      <c r="P2" s="85"/>
      <c r="Q2" s="85"/>
    </row>
    <row r="3" spans="1:17" ht="30" customHeight="1" x14ac:dyDescent="0.25">
      <c r="A3" s="92"/>
      <c r="B3" s="92"/>
      <c r="C3" s="17" t="s">
        <v>7</v>
      </c>
      <c r="D3" s="85"/>
      <c r="E3" s="85"/>
      <c r="F3" s="85"/>
      <c r="G3" s="85"/>
      <c r="H3" s="85"/>
      <c r="I3" s="85"/>
      <c r="J3" s="85"/>
      <c r="K3" s="85"/>
      <c r="L3" s="85"/>
      <c r="M3" s="85"/>
      <c r="N3" s="85"/>
      <c r="O3" s="85"/>
      <c r="P3" s="85"/>
      <c r="Q3" s="85"/>
    </row>
    <row r="4" spans="1:17" ht="30" customHeight="1" x14ac:dyDescent="0.25">
      <c r="A4" s="83" t="s">
        <v>92</v>
      </c>
      <c r="B4" s="83"/>
      <c r="C4" s="18" t="s">
        <v>8</v>
      </c>
      <c r="D4" s="84" t="s">
        <v>93</v>
      </c>
      <c r="E4" s="84"/>
      <c r="F4" s="84"/>
      <c r="G4" s="84"/>
      <c r="H4" s="84"/>
      <c r="I4" s="84"/>
      <c r="J4" s="84"/>
      <c r="K4" s="84"/>
      <c r="L4" s="84"/>
      <c r="M4" s="84"/>
      <c r="N4" s="84"/>
      <c r="O4" s="84"/>
      <c r="P4" s="84"/>
      <c r="Q4" s="84"/>
    </row>
    <row r="5" spans="1:17" ht="30" customHeight="1" x14ac:dyDescent="0.25">
      <c r="A5" s="83"/>
      <c r="B5" s="83"/>
      <c r="C5" s="18" t="s">
        <v>9</v>
      </c>
      <c r="D5" s="85"/>
      <c r="E5" s="85"/>
      <c r="F5" s="85"/>
      <c r="G5" s="85"/>
      <c r="H5" s="85"/>
      <c r="I5" s="85"/>
      <c r="J5" s="85"/>
      <c r="K5" s="85"/>
      <c r="L5" s="85"/>
      <c r="M5" s="85"/>
      <c r="N5" s="85"/>
      <c r="O5" s="85"/>
      <c r="P5" s="85"/>
      <c r="Q5" s="85"/>
    </row>
    <row r="6" spans="1:17" ht="24.95" customHeight="1" x14ac:dyDescent="0.25">
      <c r="A6" s="86" t="s">
        <v>2</v>
      </c>
      <c r="B6" s="87"/>
      <c r="C6" s="87"/>
      <c r="D6" s="87"/>
      <c r="E6" s="87"/>
      <c r="F6" s="87"/>
      <c r="G6" s="88"/>
      <c r="H6" s="57"/>
      <c r="I6" s="57"/>
      <c r="J6" s="89" t="s">
        <v>3</v>
      </c>
      <c r="K6" s="90"/>
      <c r="L6" s="90"/>
      <c r="M6" s="90"/>
      <c r="N6" s="90"/>
      <c r="O6" s="90"/>
      <c r="P6" s="90"/>
      <c r="Q6" s="79"/>
    </row>
    <row r="7" spans="1:17" ht="24.95" customHeight="1" x14ac:dyDescent="0.25">
      <c r="A7" s="19"/>
      <c r="B7" s="19"/>
      <c r="C7" s="19"/>
      <c r="D7" s="19"/>
      <c r="E7" s="20"/>
      <c r="F7" s="19"/>
      <c r="G7" s="19"/>
      <c r="H7" s="65"/>
      <c r="I7" s="65"/>
      <c r="J7" s="79" t="s">
        <v>4</v>
      </c>
      <c r="K7" s="80"/>
      <c r="L7" s="80"/>
      <c r="M7" s="80"/>
      <c r="N7" s="80" t="s">
        <v>5</v>
      </c>
      <c r="O7" s="80"/>
      <c r="P7" s="80"/>
      <c r="Q7" s="80"/>
    </row>
    <row r="8" spans="1:17" ht="24.95" customHeight="1" x14ac:dyDescent="0.25">
      <c r="A8" s="21" t="s">
        <v>10</v>
      </c>
      <c r="B8" s="21" t="s">
        <v>11</v>
      </c>
      <c r="C8" s="21" t="s">
        <v>12</v>
      </c>
      <c r="D8" s="22" t="s">
        <v>94</v>
      </c>
      <c r="E8" s="23" t="s">
        <v>13</v>
      </c>
      <c r="F8" s="21" t="s">
        <v>14</v>
      </c>
      <c r="G8" s="24" t="s">
        <v>95</v>
      </c>
      <c r="H8" s="24" t="s">
        <v>117</v>
      </c>
      <c r="I8" s="24" t="s">
        <v>118</v>
      </c>
      <c r="J8" s="25" t="s">
        <v>15</v>
      </c>
      <c r="K8" s="25" t="s">
        <v>16</v>
      </c>
      <c r="L8" s="25" t="s">
        <v>17</v>
      </c>
      <c r="M8" s="25" t="s">
        <v>18</v>
      </c>
      <c r="N8" s="25" t="s">
        <v>15</v>
      </c>
      <c r="O8" s="25" t="s">
        <v>16</v>
      </c>
      <c r="P8" s="25" t="s">
        <v>17</v>
      </c>
      <c r="Q8" s="26" t="s">
        <v>18</v>
      </c>
    </row>
    <row r="10" spans="1:17" ht="18" customHeight="1" x14ac:dyDescent="0.25">
      <c r="A10" s="73" t="s">
        <v>110</v>
      </c>
      <c r="B10" s="74" t="s">
        <v>113</v>
      </c>
      <c r="C10" s="74" t="s">
        <v>89</v>
      </c>
      <c r="D10" s="75"/>
      <c r="E10" s="33">
        <v>510105</v>
      </c>
      <c r="F10" s="31" t="s">
        <v>83</v>
      </c>
      <c r="G10" s="63">
        <v>183342</v>
      </c>
      <c r="H10" s="63"/>
      <c r="I10" s="63"/>
      <c r="J10" s="1"/>
      <c r="K10" s="1"/>
      <c r="L10" s="1"/>
      <c r="M10" s="1"/>
      <c r="N10" s="1"/>
      <c r="O10" s="1"/>
      <c r="P10" s="1"/>
      <c r="Q10" s="1"/>
    </row>
    <row r="11" spans="1:17" ht="18" customHeight="1" x14ac:dyDescent="0.25">
      <c r="A11" s="73"/>
      <c r="B11" s="74"/>
      <c r="C11" s="74"/>
      <c r="D11" s="75"/>
      <c r="E11" s="33">
        <v>510203</v>
      </c>
      <c r="F11" s="31" t="s">
        <v>84</v>
      </c>
      <c r="G11" s="63">
        <v>18933</v>
      </c>
      <c r="H11" s="63"/>
      <c r="I11" s="63"/>
      <c r="J11" s="1"/>
      <c r="K11" s="1"/>
      <c r="L11" s="1"/>
      <c r="M11" s="1"/>
      <c r="N11" s="1"/>
      <c r="O11" s="1"/>
      <c r="P11" s="1"/>
      <c r="Q11" s="1"/>
    </row>
    <row r="12" spans="1:17" ht="18" customHeight="1" x14ac:dyDescent="0.25">
      <c r="A12" s="73"/>
      <c r="B12" s="74"/>
      <c r="C12" s="74"/>
      <c r="D12" s="75"/>
      <c r="E12" s="33">
        <v>510204</v>
      </c>
      <c r="F12" s="31" t="s">
        <v>85</v>
      </c>
      <c r="G12" s="63">
        <v>4675</v>
      </c>
      <c r="H12" s="63"/>
      <c r="I12" s="63"/>
      <c r="J12" s="1"/>
      <c r="K12" s="1"/>
      <c r="L12" s="1"/>
      <c r="M12" s="1"/>
      <c r="N12" s="1"/>
      <c r="O12" s="1"/>
      <c r="P12" s="1"/>
      <c r="Q12" s="1"/>
    </row>
    <row r="13" spans="1:17" ht="18" customHeight="1" x14ac:dyDescent="0.25">
      <c r="A13" s="73"/>
      <c r="B13" s="74"/>
      <c r="C13" s="74"/>
      <c r="D13" s="75"/>
      <c r="E13" s="33">
        <v>510601</v>
      </c>
      <c r="F13" s="31" t="s">
        <v>86</v>
      </c>
      <c r="G13" s="63">
        <v>26468.334000000003</v>
      </c>
      <c r="H13" s="63"/>
      <c r="I13" s="63"/>
      <c r="J13" s="1"/>
      <c r="K13" s="1"/>
      <c r="L13" s="1"/>
      <c r="M13" s="1"/>
      <c r="N13" s="1"/>
      <c r="O13" s="1"/>
      <c r="P13" s="1"/>
      <c r="Q13" s="1"/>
    </row>
    <row r="14" spans="1:17" ht="18" customHeight="1" x14ac:dyDescent="0.25">
      <c r="A14" s="73"/>
      <c r="B14" s="74"/>
      <c r="C14" s="74"/>
      <c r="D14" s="75"/>
      <c r="E14" s="33">
        <v>510602</v>
      </c>
      <c r="F14" s="31" t="s">
        <v>87</v>
      </c>
      <c r="G14" s="63">
        <v>18933</v>
      </c>
      <c r="H14" s="63"/>
      <c r="I14" s="63"/>
      <c r="J14" s="1"/>
      <c r="K14" s="1"/>
      <c r="L14" s="1"/>
      <c r="M14" s="1"/>
      <c r="N14" s="1"/>
      <c r="O14" s="1"/>
      <c r="P14" s="1"/>
      <c r="Q14" s="1"/>
    </row>
    <row r="15" spans="1:17" ht="18" customHeight="1" x14ac:dyDescent="0.25">
      <c r="A15" s="73"/>
      <c r="B15" s="74"/>
      <c r="C15" s="74"/>
      <c r="D15" s="75"/>
      <c r="E15" s="33">
        <v>510510</v>
      </c>
      <c r="F15" s="31" t="s">
        <v>88</v>
      </c>
      <c r="G15" s="63">
        <v>43854</v>
      </c>
      <c r="H15" s="63"/>
      <c r="I15" s="63"/>
      <c r="J15" s="1"/>
      <c r="K15" s="1"/>
      <c r="L15" s="1"/>
      <c r="M15" s="1"/>
      <c r="N15" s="1"/>
      <c r="O15" s="1"/>
      <c r="P15" s="1"/>
      <c r="Q15" s="1"/>
    </row>
    <row r="16" spans="1:17" ht="18" customHeight="1" x14ac:dyDescent="0.25">
      <c r="A16" s="73"/>
      <c r="B16" s="74"/>
      <c r="C16" s="74"/>
      <c r="D16" s="75"/>
      <c r="E16" s="34" t="s">
        <v>70</v>
      </c>
      <c r="F16" s="32" t="s">
        <v>25</v>
      </c>
      <c r="G16" s="64">
        <v>1950</v>
      </c>
      <c r="H16" s="64"/>
      <c r="I16" s="64"/>
      <c r="J16" s="1"/>
      <c r="K16" s="1"/>
      <c r="L16" s="1"/>
      <c r="M16" s="1"/>
      <c r="N16" s="1"/>
      <c r="O16" s="1"/>
      <c r="P16" s="1"/>
      <c r="Q16" s="1"/>
    </row>
    <row r="17" spans="1:17" ht="18" customHeight="1" x14ac:dyDescent="0.25">
      <c r="A17" s="73"/>
      <c r="B17" s="74"/>
      <c r="C17" s="74"/>
      <c r="D17" s="75"/>
      <c r="E17" s="34">
        <v>840107</v>
      </c>
      <c r="F17" s="30" t="s">
        <v>23</v>
      </c>
      <c r="G17" s="64">
        <v>2500</v>
      </c>
      <c r="H17" s="64"/>
      <c r="I17" s="64"/>
      <c r="J17" s="1"/>
      <c r="K17" s="1"/>
      <c r="L17" s="1"/>
      <c r="M17" s="1"/>
      <c r="N17" s="1"/>
      <c r="O17" s="1"/>
      <c r="P17" s="1"/>
      <c r="Q17" s="1"/>
    </row>
    <row r="18" spans="1:17" ht="18" customHeight="1" x14ac:dyDescent="0.25">
      <c r="A18" s="73"/>
      <c r="B18" s="74"/>
      <c r="C18" s="74"/>
      <c r="D18" s="75"/>
      <c r="E18" s="33">
        <v>530301</v>
      </c>
      <c r="F18" s="30" t="s">
        <v>72</v>
      </c>
      <c r="G18" s="63">
        <v>500</v>
      </c>
      <c r="H18" s="63"/>
      <c r="I18" s="63"/>
      <c r="J18" s="1"/>
      <c r="K18" s="1"/>
      <c r="L18" s="1"/>
      <c r="M18" s="1"/>
      <c r="N18" s="1"/>
      <c r="O18" s="1"/>
      <c r="P18" s="1"/>
      <c r="Q18" s="1"/>
    </row>
    <row r="19" spans="1:17" ht="18" customHeight="1" x14ac:dyDescent="0.25">
      <c r="A19" s="73"/>
      <c r="B19" s="74"/>
      <c r="C19" s="74"/>
      <c r="D19" s="75"/>
      <c r="E19" s="33">
        <v>530302</v>
      </c>
      <c r="F19" s="30" t="s">
        <v>73</v>
      </c>
      <c r="G19" s="63">
        <v>500</v>
      </c>
      <c r="H19" s="63"/>
      <c r="I19" s="63"/>
      <c r="J19" s="1"/>
      <c r="K19" s="1"/>
      <c r="L19" s="1"/>
      <c r="M19" s="1"/>
      <c r="N19" s="1"/>
      <c r="O19" s="1"/>
      <c r="P19" s="1"/>
      <c r="Q19" s="1"/>
    </row>
    <row r="20" spans="1:17" ht="18" customHeight="1" x14ac:dyDescent="0.25">
      <c r="A20" s="73"/>
      <c r="B20" s="74"/>
      <c r="C20" s="74"/>
      <c r="D20" s="75"/>
      <c r="E20" s="33">
        <v>530303</v>
      </c>
      <c r="F20" s="30" t="s">
        <v>74</v>
      </c>
      <c r="G20" s="63">
        <v>7000</v>
      </c>
      <c r="H20" s="63"/>
      <c r="I20" s="63"/>
      <c r="J20" s="1"/>
      <c r="K20" s="1"/>
      <c r="L20" s="1"/>
      <c r="M20" s="1"/>
      <c r="N20" s="1"/>
      <c r="O20" s="1"/>
      <c r="P20" s="1"/>
      <c r="Q20" s="1"/>
    </row>
    <row r="21" spans="1:17" ht="18" customHeight="1" x14ac:dyDescent="0.25">
      <c r="A21" s="73"/>
      <c r="B21" s="74"/>
      <c r="C21" s="74"/>
      <c r="D21" s="75"/>
      <c r="E21" s="33">
        <v>530304</v>
      </c>
      <c r="F21" s="30" t="s">
        <v>75</v>
      </c>
      <c r="G21" s="63">
        <v>2000</v>
      </c>
      <c r="H21" s="63"/>
      <c r="I21" s="63"/>
      <c r="J21" s="1"/>
      <c r="K21" s="1"/>
      <c r="L21" s="1"/>
      <c r="M21" s="1"/>
      <c r="N21" s="1"/>
      <c r="O21" s="1"/>
      <c r="P21" s="1"/>
      <c r="Q21" s="1"/>
    </row>
    <row r="22" spans="1:17" ht="18" customHeight="1" x14ac:dyDescent="0.25">
      <c r="A22" s="73"/>
      <c r="B22" s="74"/>
      <c r="C22" s="74"/>
      <c r="D22" s="75"/>
      <c r="E22" s="34" t="s">
        <v>96</v>
      </c>
      <c r="F22" s="32" t="s">
        <v>36</v>
      </c>
      <c r="G22" s="64">
        <v>400</v>
      </c>
      <c r="H22" s="64"/>
      <c r="I22" s="64"/>
      <c r="J22" s="1"/>
      <c r="K22" s="1"/>
      <c r="L22" s="1"/>
      <c r="M22" s="1"/>
      <c r="N22" s="1"/>
      <c r="O22" s="1"/>
      <c r="P22" s="1"/>
      <c r="Q22" s="1"/>
    </row>
    <row r="23" spans="1:17" ht="18" customHeight="1" x14ac:dyDescent="0.25">
      <c r="A23" s="73"/>
      <c r="B23" s="74"/>
      <c r="C23" s="74"/>
      <c r="D23" s="75"/>
      <c r="E23" s="33">
        <v>530201</v>
      </c>
      <c r="F23" s="30" t="s">
        <v>19</v>
      </c>
      <c r="G23" s="63">
        <v>1200</v>
      </c>
      <c r="H23" s="63"/>
      <c r="I23" s="63"/>
      <c r="J23" s="1"/>
      <c r="K23" s="1"/>
      <c r="L23" s="1"/>
      <c r="M23" s="1"/>
      <c r="N23" s="1"/>
      <c r="O23" s="1"/>
      <c r="P23" s="1"/>
      <c r="Q23" s="1"/>
    </row>
    <row r="24" spans="1:17" ht="18" customHeight="1" x14ac:dyDescent="0.25">
      <c r="A24" s="73"/>
      <c r="B24" s="74"/>
      <c r="C24" s="74"/>
      <c r="D24" s="75"/>
      <c r="E24" s="33">
        <v>510512</v>
      </c>
      <c r="F24" s="30" t="s">
        <v>71</v>
      </c>
      <c r="G24" s="63">
        <v>6000</v>
      </c>
      <c r="H24" s="63"/>
      <c r="I24" s="63"/>
      <c r="J24" s="1"/>
      <c r="K24" s="1"/>
      <c r="L24" s="1"/>
      <c r="M24" s="1"/>
      <c r="N24" s="1"/>
      <c r="O24" s="1"/>
      <c r="P24" s="1"/>
      <c r="Q24" s="1"/>
    </row>
    <row r="25" spans="1:17" ht="26.25" customHeight="1" x14ac:dyDescent="0.25">
      <c r="A25" s="73"/>
      <c r="B25" s="74"/>
      <c r="C25" s="74"/>
      <c r="D25" s="75"/>
      <c r="E25" s="33">
        <v>510707</v>
      </c>
      <c r="F25" s="30" t="s">
        <v>52</v>
      </c>
      <c r="G25" s="63">
        <v>28828</v>
      </c>
      <c r="H25" s="63"/>
      <c r="I25" s="63"/>
      <c r="J25" s="1"/>
      <c r="K25" s="1"/>
      <c r="L25" s="1"/>
      <c r="M25" s="1"/>
      <c r="N25" s="1"/>
      <c r="O25" s="1"/>
      <c r="P25" s="1"/>
      <c r="Q25" s="1"/>
    </row>
    <row r="26" spans="1:17" x14ac:dyDescent="0.25">
      <c r="G26" s="36">
        <f>SUM(G10:G25)</f>
        <v>347083.33400000003</v>
      </c>
      <c r="H26" s="66"/>
      <c r="I26" s="66"/>
    </row>
    <row r="27" spans="1:17" x14ac:dyDescent="0.25">
      <c r="A27" s="72" t="s">
        <v>59</v>
      </c>
      <c r="B27" s="76"/>
      <c r="C27" s="76"/>
      <c r="D27" s="76"/>
      <c r="E27" s="33">
        <v>510105</v>
      </c>
      <c r="F27" s="30" t="s">
        <v>83</v>
      </c>
      <c r="G27" s="63">
        <v>41256</v>
      </c>
      <c r="H27" s="63"/>
      <c r="I27" s="63"/>
      <c r="J27" s="1"/>
      <c r="K27" s="1"/>
      <c r="L27" s="1"/>
      <c r="M27" s="1"/>
      <c r="N27" s="1"/>
      <c r="O27" s="1"/>
      <c r="P27" s="1"/>
      <c r="Q27" s="1"/>
    </row>
    <row r="28" spans="1:17" x14ac:dyDescent="0.25">
      <c r="A28" s="72"/>
      <c r="B28" s="77"/>
      <c r="C28" s="77"/>
      <c r="D28" s="77"/>
      <c r="E28" s="33">
        <v>510203</v>
      </c>
      <c r="F28" s="30" t="s">
        <v>84</v>
      </c>
      <c r="G28" s="63">
        <v>3438</v>
      </c>
      <c r="H28" s="63"/>
      <c r="I28" s="63"/>
      <c r="J28" s="1"/>
      <c r="K28" s="1"/>
      <c r="L28" s="1"/>
      <c r="M28" s="1"/>
      <c r="N28" s="1"/>
      <c r="O28" s="1"/>
      <c r="P28" s="1"/>
      <c r="Q28" s="1"/>
    </row>
    <row r="29" spans="1:17" x14ac:dyDescent="0.25">
      <c r="A29" s="72"/>
      <c r="B29" s="77"/>
      <c r="C29" s="77"/>
      <c r="D29" s="77"/>
      <c r="E29" s="33">
        <v>510204</v>
      </c>
      <c r="F29" s="30" t="s">
        <v>85</v>
      </c>
      <c r="G29" s="63">
        <v>850</v>
      </c>
      <c r="H29" s="63"/>
      <c r="I29" s="63"/>
      <c r="J29" s="1"/>
      <c r="K29" s="1"/>
      <c r="L29" s="1"/>
      <c r="M29" s="1"/>
      <c r="N29" s="1"/>
      <c r="O29" s="1"/>
      <c r="P29" s="1"/>
      <c r="Q29" s="1"/>
    </row>
    <row r="30" spans="1:17" x14ac:dyDescent="0.25">
      <c r="A30" s="72"/>
      <c r="B30" s="77"/>
      <c r="C30" s="77"/>
      <c r="D30" s="77"/>
      <c r="E30" s="33">
        <v>510601</v>
      </c>
      <c r="F30" s="30" t="s">
        <v>86</v>
      </c>
      <c r="G30" s="63">
        <v>4806.32</v>
      </c>
      <c r="H30" s="63"/>
      <c r="I30" s="63"/>
      <c r="J30" s="1"/>
      <c r="K30" s="1"/>
      <c r="L30" s="1"/>
      <c r="M30" s="1"/>
      <c r="N30" s="1"/>
      <c r="O30" s="1"/>
      <c r="P30" s="1"/>
      <c r="Q30" s="1"/>
    </row>
    <row r="31" spans="1:17" x14ac:dyDescent="0.25">
      <c r="A31" s="72"/>
      <c r="B31" s="77"/>
      <c r="C31" s="77"/>
      <c r="D31" s="77"/>
      <c r="E31" s="33">
        <v>510602</v>
      </c>
      <c r="F31" s="30" t="s">
        <v>87</v>
      </c>
      <c r="G31" s="63">
        <v>3438</v>
      </c>
      <c r="H31" s="63"/>
      <c r="I31" s="63"/>
      <c r="J31" s="1"/>
      <c r="K31" s="1"/>
      <c r="L31" s="1"/>
      <c r="M31" s="1"/>
      <c r="N31" s="1"/>
      <c r="O31" s="1"/>
      <c r="P31" s="1"/>
      <c r="Q31" s="1"/>
    </row>
    <row r="32" spans="1:17" x14ac:dyDescent="0.25">
      <c r="A32" s="72"/>
      <c r="B32" s="77"/>
      <c r="C32" s="77"/>
      <c r="D32" s="77"/>
      <c r="E32" s="8" t="s">
        <v>70</v>
      </c>
      <c r="F32" s="30" t="s">
        <v>25</v>
      </c>
      <c r="G32" s="63">
        <v>300</v>
      </c>
      <c r="H32" s="63"/>
      <c r="I32" s="63"/>
      <c r="J32" s="1"/>
      <c r="K32" s="1"/>
      <c r="L32" s="1"/>
      <c r="M32" s="1"/>
      <c r="N32" s="1"/>
      <c r="O32" s="1"/>
      <c r="P32" s="1"/>
      <c r="Q32" s="1"/>
    </row>
    <row r="33" spans="1:17" ht="16.5" customHeight="1" x14ac:dyDescent="0.25">
      <c r="A33" s="72"/>
      <c r="B33" s="77"/>
      <c r="C33" s="77"/>
      <c r="D33" s="77"/>
      <c r="E33" s="8" t="s">
        <v>98</v>
      </c>
      <c r="F33" s="30" t="s">
        <v>41</v>
      </c>
      <c r="G33" s="64">
        <v>200</v>
      </c>
      <c r="H33" s="64"/>
      <c r="I33" s="64"/>
      <c r="J33" s="1"/>
      <c r="K33" s="1"/>
      <c r="L33" s="1"/>
      <c r="M33" s="1"/>
      <c r="N33" s="1"/>
      <c r="O33" s="1"/>
      <c r="P33" s="1"/>
      <c r="Q33" s="1"/>
    </row>
    <row r="34" spans="1:17" ht="16.5" customHeight="1" x14ac:dyDescent="0.25">
      <c r="A34" s="72"/>
      <c r="B34" s="77"/>
      <c r="C34" s="77"/>
      <c r="D34" s="77"/>
      <c r="E34" s="8" t="s">
        <v>99</v>
      </c>
      <c r="F34" s="30" t="s">
        <v>50</v>
      </c>
      <c r="G34" s="63">
        <v>1500</v>
      </c>
      <c r="H34" s="63">
        <v>1210</v>
      </c>
      <c r="I34" s="63"/>
      <c r="J34" s="1"/>
      <c r="K34" s="1"/>
      <c r="L34" s="1"/>
      <c r="M34" s="1"/>
      <c r="N34" s="1"/>
      <c r="O34" s="1"/>
      <c r="P34" s="1"/>
      <c r="Q34" s="1"/>
    </row>
    <row r="35" spans="1:17" ht="16.5" customHeight="1" x14ac:dyDescent="0.25">
      <c r="A35" s="72"/>
      <c r="B35" s="77"/>
      <c r="C35" s="77"/>
      <c r="D35" s="77"/>
      <c r="E35" s="8" t="s">
        <v>77</v>
      </c>
      <c r="F35" s="30" t="s">
        <v>53</v>
      </c>
      <c r="G35" s="63">
        <v>3000</v>
      </c>
      <c r="H35" s="63"/>
      <c r="I35" s="63"/>
      <c r="J35" s="1"/>
      <c r="K35" s="1"/>
      <c r="L35" s="1"/>
      <c r="M35" s="1"/>
      <c r="N35" s="1"/>
      <c r="O35" s="1"/>
      <c r="P35" s="1"/>
      <c r="Q35" s="1"/>
    </row>
    <row r="36" spans="1:17" ht="16.5" customHeight="1" x14ac:dyDescent="0.25">
      <c r="A36" s="72"/>
      <c r="B36" s="77"/>
      <c r="C36" s="77"/>
      <c r="D36" s="77"/>
      <c r="E36" s="8" t="s">
        <v>78</v>
      </c>
      <c r="F36" s="30" t="s">
        <v>111</v>
      </c>
      <c r="G36" s="64">
        <v>800</v>
      </c>
      <c r="H36" s="64"/>
      <c r="I36" s="64"/>
      <c r="J36" s="1"/>
      <c r="K36" s="1"/>
      <c r="L36" s="1"/>
      <c r="M36" s="1"/>
      <c r="N36" s="1"/>
      <c r="O36" s="1"/>
      <c r="P36" s="1"/>
      <c r="Q36" s="1"/>
    </row>
    <row r="37" spans="1:17" ht="16.5" customHeight="1" x14ac:dyDescent="0.25">
      <c r="A37" s="72"/>
      <c r="B37" s="78"/>
      <c r="C37" s="78"/>
      <c r="D37" s="78"/>
      <c r="E37" s="1">
        <v>570215</v>
      </c>
      <c r="F37" s="30" t="s">
        <v>57</v>
      </c>
      <c r="G37" s="63">
        <v>8580</v>
      </c>
      <c r="H37" s="63">
        <v>-1210</v>
      </c>
      <c r="I37" s="63"/>
      <c r="J37" s="1"/>
      <c r="K37" s="1"/>
      <c r="L37" s="1"/>
      <c r="M37" s="1"/>
      <c r="N37" s="1"/>
      <c r="O37" s="1"/>
      <c r="P37" s="1"/>
      <c r="Q37" s="1"/>
    </row>
    <row r="38" spans="1:17" ht="16.5" customHeight="1" x14ac:dyDescent="0.25">
      <c r="G38" s="35">
        <f>SUM(G27:G37)</f>
        <v>68168.320000000007</v>
      </c>
      <c r="H38" s="67"/>
      <c r="I38" s="67"/>
      <c r="L38" s="42"/>
      <c r="N38" s="42"/>
      <c r="O38" s="42"/>
    </row>
    <row r="39" spans="1:17" ht="16.5" customHeight="1" x14ac:dyDescent="0.25">
      <c r="A39" s="72" t="s">
        <v>64</v>
      </c>
      <c r="B39" s="75" t="s">
        <v>89</v>
      </c>
      <c r="C39" s="74" t="s">
        <v>114</v>
      </c>
      <c r="D39" s="75"/>
      <c r="E39" s="46">
        <v>510105</v>
      </c>
      <c r="F39" s="30" t="s">
        <v>83</v>
      </c>
      <c r="G39" s="54">
        <v>74916</v>
      </c>
      <c r="H39" s="70"/>
      <c r="I39" s="70"/>
      <c r="L39" s="42"/>
      <c r="N39" s="42"/>
      <c r="O39" s="42"/>
    </row>
    <row r="40" spans="1:17" ht="16.5" customHeight="1" x14ac:dyDescent="0.25">
      <c r="A40" s="72"/>
      <c r="B40" s="75"/>
      <c r="C40" s="74"/>
      <c r="D40" s="75"/>
      <c r="E40" s="46">
        <v>510203</v>
      </c>
      <c r="F40" s="30" t="s">
        <v>84</v>
      </c>
      <c r="G40" s="55">
        <v>6809.5</v>
      </c>
      <c r="H40" s="55"/>
      <c r="I40" s="55"/>
      <c r="L40" s="42"/>
      <c r="N40" s="42"/>
      <c r="O40" s="42"/>
    </row>
    <row r="41" spans="1:17" ht="16.5" customHeight="1" x14ac:dyDescent="0.25">
      <c r="A41" s="72"/>
      <c r="B41" s="75"/>
      <c r="C41" s="74"/>
      <c r="D41" s="75"/>
      <c r="E41" s="46">
        <v>510204</v>
      </c>
      <c r="F41" s="30" t="s">
        <v>85</v>
      </c>
      <c r="G41" s="54">
        <v>2550</v>
      </c>
      <c r="H41" s="70"/>
      <c r="I41" s="70"/>
      <c r="L41" s="42"/>
      <c r="N41" s="42"/>
      <c r="O41" s="42"/>
    </row>
    <row r="42" spans="1:17" ht="16.5" customHeight="1" x14ac:dyDescent="0.25">
      <c r="A42" s="72"/>
      <c r="B42" s="75"/>
      <c r="C42" s="74"/>
      <c r="D42" s="75"/>
      <c r="E42" s="46">
        <v>510601</v>
      </c>
      <c r="F42" s="30" t="s">
        <v>86</v>
      </c>
      <c r="G42" s="54">
        <v>9519.6810000000005</v>
      </c>
      <c r="H42" s="70"/>
      <c r="I42" s="70"/>
      <c r="L42" s="42"/>
      <c r="N42" s="42"/>
      <c r="O42" s="42"/>
    </row>
    <row r="43" spans="1:17" ht="16.5" customHeight="1" x14ac:dyDescent="0.25">
      <c r="A43" s="72"/>
      <c r="B43" s="75"/>
      <c r="C43" s="74"/>
      <c r="D43" s="75"/>
      <c r="E43" s="46">
        <v>510602</v>
      </c>
      <c r="F43" s="30" t="s">
        <v>87</v>
      </c>
      <c r="G43" s="54">
        <v>6809.5</v>
      </c>
      <c r="H43" s="70"/>
      <c r="I43" s="70"/>
      <c r="L43" s="42"/>
      <c r="N43" s="42"/>
      <c r="O43" s="42"/>
    </row>
    <row r="44" spans="1:17" ht="16.5" customHeight="1" x14ac:dyDescent="0.25">
      <c r="A44" s="72"/>
      <c r="B44" s="75"/>
      <c r="C44" s="74"/>
      <c r="D44" s="75"/>
      <c r="E44" s="46">
        <v>510510</v>
      </c>
      <c r="F44" s="30" t="s">
        <v>20</v>
      </c>
      <c r="G44" s="54">
        <v>6798</v>
      </c>
      <c r="H44" s="70"/>
      <c r="I44" s="70"/>
      <c r="L44" s="42"/>
      <c r="N44" s="42"/>
      <c r="O44" s="42"/>
    </row>
    <row r="45" spans="1:17" ht="16.5" customHeight="1" x14ac:dyDescent="0.25">
      <c r="A45" s="72"/>
      <c r="B45" s="75"/>
      <c r="C45" s="75" t="s">
        <v>63</v>
      </c>
      <c r="D45" s="75"/>
      <c r="E45" s="47" t="s">
        <v>100</v>
      </c>
      <c r="F45" s="30" t="s">
        <v>28</v>
      </c>
      <c r="G45" s="59">
        <v>100</v>
      </c>
      <c r="H45" s="60"/>
      <c r="I45" s="60"/>
      <c r="J45" s="69">
        <v>1</v>
      </c>
      <c r="K45" s="1"/>
      <c r="L45" s="1"/>
      <c r="M45" s="1"/>
      <c r="N45" s="1"/>
      <c r="O45" s="1"/>
      <c r="P45" s="1"/>
      <c r="Q45" s="1"/>
    </row>
    <row r="46" spans="1:17" ht="16.5" customHeight="1" x14ac:dyDescent="0.25">
      <c r="A46" s="72"/>
      <c r="B46" s="75"/>
      <c r="C46" s="75"/>
      <c r="D46" s="75"/>
      <c r="E46" s="48" t="s">
        <v>80</v>
      </c>
      <c r="F46" s="30" t="s">
        <v>29</v>
      </c>
      <c r="G46" s="60">
        <v>100</v>
      </c>
      <c r="H46" s="60"/>
      <c r="I46" s="60"/>
      <c r="J46" s="2">
        <v>1</v>
      </c>
      <c r="K46" s="1"/>
      <c r="L46" s="1"/>
      <c r="M46" s="1"/>
      <c r="N46" s="1"/>
      <c r="O46" s="1"/>
      <c r="P46" s="1"/>
      <c r="Q46" s="1"/>
    </row>
    <row r="47" spans="1:17" ht="27" customHeight="1" x14ac:dyDescent="0.25">
      <c r="A47" s="72"/>
      <c r="B47" s="75"/>
      <c r="C47" s="75"/>
      <c r="D47" s="75"/>
      <c r="E47" s="48" t="s">
        <v>101</v>
      </c>
      <c r="F47" s="30" t="s">
        <v>58</v>
      </c>
      <c r="G47" s="60">
        <v>40</v>
      </c>
      <c r="H47" s="60"/>
      <c r="I47" s="60"/>
      <c r="J47" s="2">
        <v>1</v>
      </c>
      <c r="K47" s="1"/>
      <c r="L47" s="1"/>
      <c r="M47" s="1"/>
      <c r="N47" s="1"/>
      <c r="O47" s="1"/>
      <c r="P47" s="1"/>
      <c r="Q47" s="1"/>
    </row>
    <row r="48" spans="1:17" ht="27.75" customHeight="1" x14ac:dyDescent="0.25">
      <c r="A48" s="72"/>
      <c r="B48" s="75"/>
      <c r="C48" s="15" t="s">
        <v>37</v>
      </c>
      <c r="D48" s="75"/>
      <c r="E48" s="49" t="s">
        <v>106</v>
      </c>
      <c r="F48" s="30" t="s">
        <v>112</v>
      </c>
      <c r="G48" s="58">
        <v>800</v>
      </c>
      <c r="H48" s="58"/>
      <c r="I48" s="58"/>
      <c r="J48" s="13">
        <v>0.33300000000000002</v>
      </c>
      <c r="K48" s="1"/>
      <c r="L48" s="1"/>
      <c r="M48" s="1"/>
      <c r="N48" s="1"/>
      <c r="O48" s="1"/>
      <c r="P48" s="1"/>
      <c r="Q48" s="1"/>
    </row>
    <row r="49" spans="1:17" ht="16.5" customHeight="1" x14ac:dyDescent="0.25">
      <c r="A49" s="72"/>
      <c r="B49" s="75"/>
      <c r="C49" s="4" t="s">
        <v>39</v>
      </c>
      <c r="D49" s="75"/>
      <c r="E49" s="50" t="s">
        <v>102</v>
      </c>
      <c r="F49" s="30" t="s">
        <v>38</v>
      </c>
      <c r="G49" s="58">
        <v>1000</v>
      </c>
      <c r="H49" s="58"/>
      <c r="I49" s="58"/>
      <c r="J49" s="12">
        <v>1</v>
      </c>
      <c r="K49" s="1"/>
      <c r="L49" s="1"/>
      <c r="M49" s="1"/>
      <c r="N49" s="1"/>
      <c r="O49" s="1"/>
      <c r="P49" s="1"/>
      <c r="Q49" s="1"/>
    </row>
    <row r="50" spans="1:17" ht="24.75" customHeight="1" x14ac:dyDescent="0.25">
      <c r="A50" s="72"/>
      <c r="B50" s="75"/>
      <c r="C50" s="4" t="s">
        <v>49</v>
      </c>
      <c r="D50" s="75"/>
      <c r="E50" s="50" t="s">
        <v>103</v>
      </c>
      <c r="F50" s="30" t="s">
        <v>48</v>
      </c>
      <c r="G50" s="58">
        <v>1200</v>
      </c>
      <c r="H50" s="58"/>
      <c r="I50" s="58"/>
      <c r="J50" s="12">
        <v>1</v>
      </c>
      <c r="K50" s="1"/>
      <c r="L50" s="1"/>
      <c r="M50" s="1"/>
      <c r="N50" s="1"/>
      <c r="O50" s="1"/>
      <c r="P50" s="1"/>
      <c r="Q50" s="1"/>
    </row>
    <row r="51" spans="1:17" ht="27.75" customHeight="1" x14ac:dyDescent="0.25">
      <c r="A51" s="72"/>
      <c r="B51" s="75"/>
      <c r="C51" s="4" t="s">
        <v>43</v>
      </c>
      <c r="D51" s="75"/>
      <c r="E51" s="50" t="s">
        <v>104</v>
      </c>
      <c r="F51" s="30" t="s">
        <v>44</v>
      </c>
      <c r="G51" s="58">
        <v>1000</v>
      </c>
      <c r="H51" s="58"/>
      <c r="I51" s="58"/>
      <c r="J51" s="12">
        <v>1</v>
      </c>
      <c r="K51" s="1"/>
      <c r="L51" s="1"/>
      <c r="M51" s="1"/>
      <c r="N51" s="1"/>
      <c r="O51" s="1"/>
      <c r="P51" s="1"/>
      <c r="Q51" s="1"/>
    </row>
    <row r="52" spans="1:17" ht="16.5" customHeight="1" x14ac:dyDescent="0.25">
      <c r="A52" s="72"/>
      <c r="B52" s="75"/>
      <c r="C52" s="4" t="s">
        <v>47</v>
      </c>
      <c r="D52" s="75"/>
      <c r="E52" s="50" t="s">
        <v>105</v>
      </c>
      <c r="F52" s="30" t="s">
        <v>46</v>
      </c>
      <c r="G52" s="58">
        <v>600</v>
      </c>
      <c r="H52" s="58"/>
      <c r="I52" s="58"/>
      <c r="J52" s="12">
        <v>1</v>
      </c>
      <c r="K52" s="1"/>
      <c r="L52" s="1"/>
      <c r="M52" s="1"/>
      <c r="N52" s="1"/>
      <c r="O52" s="1"/>
      <c r="P52" s="1"/>
      <c r="Q52" s="1"/>
    </row>
    <row r="53" spans="1:17" ht="16.5" customHeight="1" x14ac:dyDescent="0.25">
      <c r="A53" s="72"/>
      <c r="B53" s="74" t="s">
        <v>97</v>
      </c>
      <c r="C53" s="72" t="s">
        <v>67</v>
      </c>
      <c r="D53" s="75"/>
      <c r="E53" s="46">
        <v>510105</v>
      </c>
      <c r="F53" s="30" t="s">
        <v>83</v>
      </c>
      <c r="G53" s="58">
        <v>11832</v>
      </c>
      <c r="H53" s="58"/>
      <c r="I53" s="58"/>
      <c r="J53" s="1"/>
      <c r="K53" s="1"/>
      <c r="L53" s="1"/>
      <c r="M53" s="1"/>
      <c r="N53" s="1"/>
      <c r="O53" s="1"/>
      <c r="P53" s="1"/>
      <c r="Q53" s="1"/>
    </row>
    <row r="54" spans="1:17" ht="18.75" customHeight="1" x14ac:dyDescent="0.25">
      <c r="A54" s="72"/>
      <c r="B54" s="74"/>
      <c r="C54" s="72"/>
      <c r="D54" s="75"/>
      <c r="E54" s="46">
        <v>510203</v>
      </c>
      <c r="F54" s="30" t="s">
        <v>84</v>
      </c>
      <c r="G54" s="61">
        <v>1939.63</v>
      </c>
      <c r="H54" s="61"/>
      <c r="I54" s="61"/>
      <c r="J54" s="1"/>
      <c r="K54" s="1"/>
      <c r="L54" s="1"/>
      <c r="M54" s="1"/>
      <c r="N54" s="1"/>
      <c r="O54" s="1"/>
      <c r="P54" s="1"/>
      <c r="Q54" s="1"/>
    </row>
    <row r="55" spans="1:17" ht="16.5" customHeight="1" x14ac:dyDescent="0.25">
      <c r="A55" s="72"/>
      <c r="B55" s="74"/>
      <c r="C55" s="72"/>
      <c r="D55" s="75"/>
      <c r="E55" s="46">
        <v>510204</v>
      </c>
      <c r="F55" s="30" t="s">
        <v>85</v>
      </c>
      <c r="G55" s="58">
        <v>850</v>
      </c>
      <c r="H55" s="58"/>
      <c r="I55" s="58"/>
      <c r="J55" s="1"/>
      <c r="K55" s="1"/>
      <c r="L55" s="1"/>
      <c r="M55" s="1"/>
      <c r="N55" s="1"/>
      <c r="O55" s="1"/>
      <c r="P55" s="1"/>
      <c r="Q55" s="1"/>
    </row>
    <row r="56" spans="1:17" ht="20.25" customHeight="1" x14ac:dyDescent="0.25">
      <c r="A56" s="72"/>
      <c r="B56" s="74"/>
      <c r="C56" s="72"/>
      <c r="D56" s="75"/>
      <c r="E56" s="46">
        <v>510601</v>
      </c>
      <c r="F56" s="30" t="s">
        <v>86</v>
      </c>
      <c r="G56" s="58">
        <v>2711.6</v>
      </c>
      <c r="H56" s="58"/>
      <c r="I56" s="58"/>
      <c r="J56" s="1"/>
      <c r="K56" s="1"/>
      <c r="L56" s="1"/>
      <c r="M56" s="1"/>
      <c r="N56" s="1"/>
      <c r="O56" s="1"/>
      <c r="P56" s="1"/>
      <c r="Q56" s="1"/>
    </row>
    <row r="57" spans="1:17" ht="20.25" customHeight="1" x14ac:dyDescent="0.25">
      <c r="A57" s="72"/>
      <c r="B57" s="74"/>
      <c r="C57" s="72"/>
      <c r="D57" s="75"/>
      <c r="E57" s="46">
        <v>510602</v>
      </c>
      <c r="F57" s="30" t="s">
        <v>87</v>
      </c>
      <c r="G57" s="58">
        <v>1939.63</v>
      </c>
      <c r="H57" s="58"/>
      <c r="I57" s="58"/>
      <c r="J57" s="1"/>
      <c r="K57" s="1"/>
      <c r="L57" s="1"/>
      <c r="M57" s="1"/>
      <c r="N57" s="1"/>
      <c r="O57" s="1"/>
      <c r="P57" s="1"/>
      <c r="Q57" s="1"/>
    </row>
    <row r="58" spans="1:17" ht="20.25" customHeight="1" x14ac:dyDescent="0.25">
      <c r="A58" s="72"/>
      <c r="B58" s="74"/>
      <c r="C58" s="72"/>
      <c r="D58" s="75"/>
      <c r="E58" s="50" t="s">
        <v>107</v>
      </c>
      <c r="F58" s="30" t="s">
        <v>20</v>
      </c>
      <c r="G58" s="58">
        <v>11443.56</v>
      </c>
      <c r="H58" s="58"/>
      <c r="I58" s="58"/>
      <c r="J58" s="1"/>
      <c r="K58" s="1"/>
      <c r="L58" s="1"/>
      <c r="M58" s="1"/>
      <c r="N58" s="1"/>
      <c r="O58" s="1"/>
      <c r="P58" s="1"/>
      <c r="Q58" s="1"/>
    </row>
    <row r="59" spans="1:17" ht="20.25" customHeight="1" x14ac:dyDescent="0.25">
      <c r="A59" s="72"/>
      <c r="B59" s="74"/>
      <c r="C59" s="72"/>
      <c r="D59" s="75"/>
      <c r="E59" s="51" t="s">
        <v>108</v>
      </c>
      <c r="F59" s="30" t="s">
        <v>26</v>
      </c>
      <c r="G59" s="58">
        <v>3000</v>
      </c>
      <c r="H59" s="58"/>
      <c r="I59" s="58"/>
      <c r="J59" s="13">
        <v>0.33300000000000002</v>
      </c>
      <c r="K59" s="1"/>
      <c r="L59" s="1"/>
      <c r="M59" s="1"/>
      <c r="N59" s="1"/>
      <c r="O59" s="1"/>
      <c r="P59" s="1"/>
      <c r="Q59" s="1"/>
    </row>
    <row r="60" spans="1:17" ht="28.5" customHeight="1" x14ac:dyDescent="0.25">
      <c r="A60" s="72"/>
      <c r="B60" s="74"/>
      <c r="C60" s="72"/>
      <c r="D60" s="75"/>
      <c r="E60" s="51" t="s">
        <v>115</v>
      </c>
      <c r="F60" s="30" t="s">
        <v>116</v>
      </c>
      <c r="G60" s="58">
        <v>2495.5</v>
      </c>
      <c r="H60" s="58"/>
      <c r="I60" s="58"/>
      <c r="J60" s="13"/>
      <c r="K60" s="1"/>
      <c r="L60" s="1"/>
      <c r="M60" s="1"/>
      <c r="N60" s="1"/>
      <c r="O60" s="1"/>
      <c r="P60" s="1"/>
      <c r="Q60" s="1"/>
    </row>
    <row r="61" spans="1:17" ht="20.25" customHeight="1" x14ac:dyDescent="0.25">
      <c r="A61" s="72"/>
      <c r="B61" s="74"/>
      <c r="C61" s="72"/>
      <c r="D61" s="75"/>
      <c r="E61" s="49" t="s">
        <v>76</v>
      </c>
      <c r="F61" s="30" t="s">
        <v>27</v>
      </c>
      <c r="G61" s="58">
        <v>2000</v>
      </c>
      <c r="H61" s="58"/>
      <c r="I61" s="58"/>
      <c r="J61" s="13">
        <v>0.33300000000000002</v>
      </c>
      <c r="K61" s="1"/>
      <c r="L61" s="1"/>
      <c r="M61" s="1"/>
      <c r="N61" s="1"/>
      <c r="O61" s="1"/>
      <c r="P61" s="1"/>
      <c r="Q61" s="1"/>
    </row>
    <row r="62" spans="1:17" ht="16.5" customHeight="1" x14ac:dyDescent="0.25">
      <c r="A62" s="72"/>
      <c r="B62" s="74"/>
      <c r="C62" s="97" t="s">
        <v>34</v>
      </c>
      <c r="D62" s="75"/>
      <c r="E62" s="49" t="s">
        <v>80</v>
      </c>
      <c r="F62" s="30" t="s">
        <v>23</v>
      </c>
      <c r="G62" s="58">
        <v>5000</v>
      </c>
      <c r="H62" s="58"/>
      <c r="I62" s="58"/>
      <c r="J62" s="1"/>
      <c r="K62" s="27">
        <v>0.5</v>
      </c>
      <c r="L62" s="27">
        <v>0.5</v>
      </c>
      <c r="M62" s="1"/>
      <c r="N62" s="1"/>
      <c r="O62" s="1"/>
      <c r="P62" s="1"/>
      <c r="Q62" s="1"/>
    </row>
    <row r="63" spans="1:17" ht="16.5" customHeight="1" x14ac:dyDescent="0.25">
      <c r="A63" s="72"/>
      <c r="B63" s="74"/>
      <c r="C63" s="97"/>
      <c r="D63" s="75"/>
      <c r="E63" s="49">
        <v>840104</v>
      </c>
      <c r="F63" s="30" t="s">
        <v>54</v>
      </c>
      <c r="G63" s="58">
        <v>1000</v>
      </c>
      <c r="H63" s="58"/>
      <c r="I63" s="58"/>
      <c r="J63" s="1"/>
      <c r="K63" s="27"/>
      <c r="L63" s="27"/>
      <c r="M63" s="1"/>
      <c r="N63" s="1"/>
      <c r="O63" s="1"/>
      <c r="P63" s="1"/>
      <c r="Q63" s="1"/>
    </row>
    <row r="64" spans="1:17" x14ac:dyDescent="0.25">
      <c r="A64" s="72"/>
      <c r="B64" s="74"/>
      <c r="C64" s="97"/>
      <c r="D64" s="75"/>
      <c r="E64" s="49" t="s">
        <v>81</v>
      </c>
      <c r="F64" s="30" t="s">
        <v>82</v>
      </c>
      <c r="G64" s="58">
        <v>300</v>
      </c>
      <c r="H64" s="58"/>
      <c r="I64" s="58"/>
      <c r="J64" s="1"/>
      <c r="K64" s="27">
        <v>0.5</v>
      </c>
      <c r="L64" s="27">
        <v>0.5</v>
      </c>
      <c r="M64" s="1"/>
      <c r="N64" s="1"/>
      <c r="O64" s="1"/>
      <c r="P64" s="1"/>
      <c r="Q64" s="1"/>
    </row>
    <row r="65" spans="1:17" x14ac:dyDescent="0.25">
      <c r="A65" s="72"/>
      <c r="B65" s="74"/>
      <c r="C65" s="75" t="s">
        <v>66</v>
      </c>
      <c r="D65" s="75"/>
      <c r="E65" s="49" t="s">
        <v>109</v>
      </c>
      <c r="F65" s="30" t="s">
        <v>45</v>
      </c>
      <c r="G65" s="58">
        <v>1500</v>
      </c>
      <c r="H65" s="58"/>
      <c r="I65" s="58"/>
      <c r="J65" s="13">
        <v>0.33300000000000002</v>
      </c>
      <c r="K65" s="13">
        <v>0.33300000000000002</v>
      </c>
      <c r="L65" s="13">
        <v>0.33300000000000002</v>
      </c>
      <c r="M65" s="1"/>
      <c r="N65" s="1"/>
      <c r="O65" s="1"/>
      <c r="P65" s="1"/>
      <c r="Q65" s="1"/>
    </row>
    <row r="66" spans="1:17" ht="25.5" x14ac:dyDescent="0.25">
      <c r="A66" s="72"/>
      <c r="B66" s="74"/>
      <c r="C66" s="75"/>
      <c r="D66" s="75"/>
      <c r="E66" s="49" t="s">
        <v>76</v>
      </c>
      <c r="F66" s="30" t="s">
        <v>58</v>
      </c>
      <c r="G66" s="58">
        <v>300</v>
      </c>
      <c r="H66" s="58"/>
      <c r="I66" s="58"/>
      <c r="J66" s="13">
        <v>0.33300000000000002</v>
      </c>
      <c r="K66" s="13">
        <v>0.33300000000000002</v>
      </c>
      <c r="L66" s="13">
        <v>0.33300000000000002</v>
      </c>
      <c r="M66" s="1"/>
      <c r="N66" s="1"/>
      <c r="O66" s="1"/>
      <c r="P66" s="1"/>
      <c r="Q66" s="1"/>
    </row>
    <row r="67" spans="1:17" x14ac:dyDescent="0.25">
      <c r="A67" s="72"/>
      <c r="B67" s="74"/>
      <c r="C67" s="1" t="s">
        <v>65</v>
      </c>
      <c r="D67" s="1"/>
      <c r="E67" s="49">
        <v>840104</v>
      </c>
      <c r="F67" s="30" t="s">
        <v>54</v>
      </c>
      <c r="G67" s="58">
        <v>3000</v>
      </c>
      <c r="H67" s="58"/>
      <c r="I67" s="58"/>
      <c r="J67" s="13">
        <v>1</v>
      </c>
      <c r="K67" s="27"/>
      <c r="L67" s="27"/>
      <c r="M67" s="1"/>
      <c r="N67" s="1"/>
      <c r="O67" s="1"/>
      <c r="P67" s="1"/>
      <c r="Q67" s="1"/>
    </row>
    <row r="68" spans="1:17" x14ac:dyDescent="0.25">
      <c r="A68" s="72"/>
      <c r="B68" s="74"/>
      <c r="C68" s="97" t="s">
        <v>60</v>
      </c>
      <c r="D68" s="75"/>
      <c r="E68" s="48" t="s">
        <v>80</v>
      </c>
      <c r="F68" s="30" t="s">
        <v>29</v>
      </c>
      <c r="G68" s="62">
        <v>5000</v>
      </c>
      <c r="H68" s="62"/>
      <c r="I68" s="62"/>
      <c r="J68" s="93">
        <v>1</v>
      </c>
      <c r="K68" s="27"/>
      <c r="L68" s="27"/>
      <c r="M68" s="1"/>
      <c r="N68" s="1"/>
      <c r="O68" s="1"/>
      <c r="P68" s="1"/>
      <c r="Q68" s="1"/>
    </row>
    <row r="69" spans="1:17" x14ac:dyDescent="0.25">
      <c r="A69" s="72"/>
      <c r="B69" s="74"/>
      <c r="C69" s="97"/>
      <c r="D69" s="75"/>
      <c r="E69" s="48">
        <v>840104</v>
      </c>
      <c r="F69" s="30" t="s">
        <v>54</v>
      </c>
      <c r="G69" s="62">
        <v>1470</v>
      </c>
      <c r="H69" s="62"/>
      <c r="I69" s="62"/>
      <c r="J69" s="93"/>
      <c r="K69" s="27"/>
      <c r="L69" s="27"/>
      <c r="M69" s="1"/>
      <c r="N69" s="1"/>
      <c r="O69" s="1"/>
      <c r="P69" s="1"/>
      <c r="Q69" s="1"/>
    </row>
    <row r="70" spans="1:17" x14ac:dyDescent="0.25">
      <c r="A70" s="72"/>
      <c r="B70" s="74"/>
      <c r="C70" s="97"/>
      <c r="D70" s="75"/>
      <c r="E70" s="48" t="s">
        <v>81</v>
      </c>
      <c r="F70" s="30" t="s">
        <v>82</v>
      </c>
      <c r="G70" s="62">
        <v>300</v>
      </c>
      <c r="H70" s="62"/>
      <c r="I70" s="62"/>
      <c r="J70" s="93"/>
      <c r="K70" s="27"/>
      <c r="L70" s="27"/>
      <c r="M70" s="1"/>
      <c r="N70" s="1"/>
      <c r="O70" s="1"/>
      <c r="P70" s="1"/>
      <c r="Q70" s="1"/>
    </row>
    <row r="71" spans="1:17" x14ac:dyDescent="0.25">
      <c r="A71" s="72"/>
      <c r="B71" s="74"/>
      <c r="C71" s="97"/>
      <c r="D71" s="75"/>
      <c r="E71" s="52" t="s">
        <v>108</v>
      </c>
      <c r="F71" s="30" t="s">
        <v>33</v>
      </c>
      <c r="G71" s="58">
        <v>1500</v>
      </c>
      <c r="H71" s="58"/>
      <c r="I71" s="58"/>
      <c r="J71" s="93"/>
      <c r="K71" s="27"/>
      <c r="L71" s="27"/>
      <c r="M71" s="1"/>
      <c r="N71" s="1"/>
      <c r="O71" s="1"/>
      <c r="P71" s="1"/>
      <c r="Q71" s="1"/>
    </row>
    <row r="72" spans="1:17" ht="24" customHeight="1" x14ac:dyDescent="0.25">
      <c r="A72" s="72"/>
      <c r="B72" s="74"/>
      <c r="C72" s="44" t="s">
        <v>68</v>
      </c>
      <c r="D72" s="1"/>
      <c r="E72" s="49" t="s">
        <v>79</v>
      </c>
      <c r="F72" s="30" t="s">
        <v>22</v>
      </c>
      <c r="G72" s="58">
        <v>6000</v>
      </c>
      <c r="H72" s="58"/>
      <c r="I72" s="58"/>
      <c r="J72" s="28">
        <v>0.5</v>
      </c>
      <c r="K72" s="28">
        <v>0.5</v>
      </c>
      <c r="L72" s="27"/>
      <c r="M72" s="1"/>
      <c r="N72" s="1"/>
      <c r="O72" s="1"/>
      <c r="P72" s="1"/>
      <c r="Q72" s="1"/>
    </row>
    <row r="73" spans="1:17" x14ac:dyDescent="0.25">
      <c r="A73" s="72"/>
      <c r="B73" s="1"/>
      <c r="C73" s="44"/>
      <c r="D73" s="1"/>
      <c r="E73" s="37"/>
      <c r="F73" s="38"/>
      <c r="G73" s="41">
        <f>SUM(G39:G72)</f>
        <v>175824.601</v>
      </c>
      <c r="H73" s="68"/>
      <c r="I73" s="68"/>
      <c r="K73" s="40"/>
      <c r="L73" s="43"/>
      <c r="M73" s="42"/>
      <c r="N73" s="42"/>
      <c r="O73" s="42"/>
    </row>
    <row r="74" spans="1:17" x14ac:dyDescent="0.25">
      <c r="A74" s="72"/>
      <c r="B74" s="72" t="s">
        <v>21</v>
      </c>
      <c r="C74" s="72" t="s">
        <v>89</v>
      </c>
      <c r="D74" s="75"/>
      <c r="E74" s="46">
        <v>510105</v>
      </c>
      <c r="F74" s="1" t="s">
        <v>83</v>
      </c>
      <c r="G74" s="45">
        <v>21564</v>
      </c>
      <c r="H74" s="45"/>
      <c r="I74" s="45"/>
      <c r="J74" s="1"/>
      <c r="K74" s="27"/>
      <c r="L74" s="27"/>
      <c r="M74" s="1"/>
      <c r="N74" s="1"/>
      <c r="O74" s="1"/>
      <c r="P74" s="1"/>
      <c r="Q74" s="1"/>
    </row>
    <row r="75" spans="1:17" x14ac:dyDescent="0.25">
      <c r="A75" s="72"/>
      <c r="B75" s="72"/>
      <c r="C75" s="72"/>
      <c r="D75" s="75"/>
      <c r="E75" s="46">
        <v>510203</v>
      </c>
      <c r="F75" s="1" t="s">
        <v>84</v>
      </c>
      <c r="G75" s="45">
        <v>2706.5</v>
      </c>
      <c r="H75" s="45"/>
      <c r="I75" s="45"/>
      <c r="J75" s="1"/>
      <c r="K75" s="27"/>
      <c r="L75" s="27"/>
      <c r="M75" s="1"/>
      <c r="N75" s="1"/>
      <c r="O75" s="1"/>
      <c r="P75" s="1"/>
      <c r="Q75" s="1"/>
    </row>
    <row r="76" spans="1:17" x14ac:dyDescent="0.25">
      <c r="A76" s="72"/>
      <c r="B76" s="72"/>
      <c r="C76" s="72"/>
      <c r="D76" s="75"/>
      <c r="E76" s="46">
        <v>510204</v>
      </c>
      <c r="F76" s="1" t="s">
        <v>85</v>
      </c>
      <c r="G76" s="45">
        <v>1275</v>
      </c>
      <c r="H76" s="45"/>
      <c r="I76" s="45"/>
      <c r="J76" s="1"/>
      <c r="K76" s="27"/>
      <c r="L76" s="27"/>
      <c r="M76" s="1"/>
      <c r="N76" s="1"/>
      <c r="O76" s="1"/>
      <c r="P76" s="1"/>
      <c r="Q76" s="1"/>
    </row>
    <row r="77" spans="1:17" x14ac:dyDescent="0.25">
      <c r="A77" s="72"/>
      <c r="B77" s="72"/>
      <c r="C77" s="72"/>
      <c r="D77" s="75"/>
      <c r="E77" s="46">
        <v>510601</v>
      </c>
      <c r="F77" s="1" t="s">
        <v>86</v>
      </c>
      <c r="G77" s="45">
        <v>3783.69</v>
      </c>
      <c r="H77" s="45"/>
      <c r="I77" s="45"/>
      <c r="J77" s="1"/>
      <c r="K77" s="27"/>
      <c r="L77" s="27"/>
      <c r="M77" s="1"/>
      <c r="N77" s="1"/>
      <c r="O77" s="1"/>
      <c r="P77" s="1"/>
      <c r="Q77" s="1"/>
    </row>
    <row r="78" spans="1:17" x14ac:dyDescent="0.25">
      <c r="A78" s="72"/>
      <c r="B78" s="72"/>
      <c r="C78" s="72"/>
      <c r="D78" s="75"/>
      <c r="E78" s="46">
        <v>510602</v>
      </c>
      <c r="F78" s="1" t="s">
        <v>87</v>
      </c>
      <c r="G78" s="45">
        <v>2706.5</v>
      </c>
      <c r="H78" s="45"/>
      <c r="I78" s="45"/>
      <c r="J78" s="1"/>
      <c r="K78" s="27"/>
      <c r="L78" s="27"/>
      <c r="M78" s="1"/>
      <c r="N78" s="1"/>
      <c r="O78" s="1"/>
      <c r="P78" s="1"/>
      <c r="Q78" s="1"/>
    </row>
    <row r="79" spans="1:17" x14ac:dyDescent="0.25">
      <c r="A79" s="72"/>
      <c r="B79" s="72"/>
      <c r="C79" s="72"/>
      <c r="D79" s="75"/>
      <c r="E79" s="53">
        <v>510510</v>
      </c>
      <c r="F79" s="1" t="s">
        <v>88</v>
      </c>
      <c r="G79" s="45">
        <v>10914</v>
      </c>
      <c r="H79" s="45"/>
      <c r="I79" s="45"/>
      <c r="J79" s="1"/>
      <c r="K79" s="27"/>
      <c r="L79" s="27"/>
      <c r="M79" s="1"/>
      <c r="N79" s="1"/>
      <c r="O79" s="1"/>
      <c r="P79" s="1"/>
      <c r="Q79" s="1"/>
    </row>
    <row r="80" spans="1:17" x14ac:dyDescent="0.25">
      <c r="A80" s="72"/>
      <c r="B80" s="72"/>
      <c r="C80" s="72"/>
      <c r="D80" s="75"/>
      <c r="E80" s="49" t="s">
        <v>70</v>
      </c>
      <c r="F80" s="3" t="s">
        <v>25</v>
      </c>
      <c r="G80" s="58">
        <v>2000</v>
      </c>
      <c r="H80" s="58"/>
      <c r="I80" s="58"/>
      <c r="J80" s="1"/>
      <c r="K80" s="27"/>
      <c r="L80" s="27"/>
      <c r="M80" s="1"/>
      <c r="N80" s="1"/>
      <c r="O80" s="1"/>
      <c r="P80" s="1"/>
      <c r="Q80" s="1"/>
    </row>
    <row r="81" spans="1:18" x14ac:dyDescent="0.25">
      <c r="A81" s="72"/>
      <c r="B81" s="72"/>
      <c r="C81" s="72"/>
      <c r="D81" s="75"/>
      <c r="E81" s="53">
        <v>510506</v>
      </c>
      <c r="F81" s="14" t="s">
        <v>69</v>
      </c>
      <c r="G81" s="45">
        <v>4000</v>
      </c>
      <c r="H81" s="45"/>
      <c r="I81" s="45"/>
      <c r="J81" s="1"/>
      <c r="K81" s="27"/>
      <c r="L81" s="27"/>
      <c r="M81" s="1"/>
      <c r="N81" s="1"/>
      <c r="O81" s="1"/>
      <c r="P81" s="1"/>
      <c r="Q81" s="1"/>
    </row>
    <row r="82" spans="1:18" x14ac:dyDescent="0.25">
      <c r="A82" s="72"/>
      <c r="B82" s="72"/>
      <c r="C82" s="72"/>
      <c r="D82" s="75"/>
      <c r="E82" s="53">
        <v>510507</v>
      </c>
      <c r="F82" s="1" t="s">
        <v>51</v>
      </c>
      <c r="G82" s="45">
        <v>9500</v>
      </c>
      <c r="H82" s="45"/>
      <c r="I82" s="45"/>
      <c r="J82" s="1"/>
      <c r="K82" s="27"/>
      <c r="L82" s="27"/>
      <c r="M82" s="1"/>
      <c r="N82" s="1"/>
      <c r="O82" s="1"/>
      <c r="P82" s="1"/>
      <c r="Q82" s="1"/>
    </row>
    <row r="83" spans="1:18" x14ac:dyDescent="0.25">
      <c r="C83" s="29"/>
      <c r="E83" s="37"/>
      <c r="F83" s="38"/>
      <c r="G83" s="41">
        <f>SUM(G74:G82)</f>
        <v>58449.69</v>
      </c>
      <c r="H83" s="41">
        <f>SUM(H74:H82)</f>
        <v>0</v>
      </c>
      <c r="I83" s="41">
        <f>SUM(I74:I82)</f>
        <v>0</v>
      </c>
      <c r="K83" s="40"/>
      <c r="L83" s="40"/>
    </row>
    <row r="84" spans="1:18" x14ac:dyDescent="0.25">
      <c r="C84" s="29"/>
      <c r="E84" s="37"/>
      <c r="F84" s="38"/>
      <c r="G84" s="39"/>
      <c r="H84" s="39"/>
      <c r="I84" s="39"/>
      <c r="K84" s="40"/>
      <c r="L84" s="40"/>
    </row>
    <row r="85" spans="1:18" ht="15.75" x14ac:dyDescent="0.25">
      <c r="C85" s="29"/>
      <c r="E85" s="37"/>
      <c r="F85" s="38"/>
      <c r="G85" s="56">
        <f>SUM(G83,G73,G38,G26)</f>
        <v>649525.94500000007</v>
      </c>
      <c r="H85" s="56"/>
      <c r="I85" s="56"/>
      <c r="K85" s="40"/>
      <c r="L85" s="40"/>
    </row>
    <row r="87" spans="1:18" hidden="1" x14ac:dyDescent="0.25"/>
    <row r="88" spans="1:18" hidden="1" x14ac:dyDescent="0.25"/>
    <row r="89" spans="1:18" hidden="1" x14ac:dyDescent="0.25"/>
    <row r="90" spans="1:18" hidden="1" x14ac:dyDescent="0.25"/>
    <row r="91" spans="1:18" ht="41.25" hidden="1" customHeight="1" x14ac:dyDescent="0.25">
      <c r="J91" s="94" t="s">
        <v>61</v>
      </c>
      <c r="K91" s="10" t="s">
        <v>42</v>
      </c>
      <c r="L91" s="11" t="s">
        <v>30</v>
      </c>
      <c r="M91" s="11" t="s">
        <v>40</v>
      </c>
      <c r="N91" s="11" t="s">
        <v>31</v>
      </c>
      <c r="O91" s="11" t="s">
        <v>32</v>
      </c>
      <c r="P91" s="7" t="s">
        <v>55</v>
      </c>
      <c r="Q91" s="9" t="s">
        <v>25</v>
      </c>
    </row>
    <row r="92" spans="1:18" ht="48" hidden="1" customHeight="1" x14ac:dyDescent="0.25">
      <c r="J92" s="95"/>
      <c r="K92" s="10" t="s">
        <v>62</v>
      </c>
      <c r="L92" s="11" t="s">
        <v>30</v>
      </c>
      <c r="M92" s="11" t="s">
        <v>40</v>
      </c>
      <c r="N92" s="11" t="s">
        <v>31</v>
      </c>
      <c r="O92" s="11" t="s">
        <v>32</v>
      </c>
      <c r="P92" s="7" t="s">
        <v>56</v>
      </c>
      <c r="Q92" s="9" t="s">
        <v>41</v>
      </c>
      <c r="R92" s="5">
        <v>8000</v>
      </c>
    </row>
    <row r="93" spans="1:18" ht="62.25" hidden="1" customHeight="1" x14ac:dyDescent="0.25">
      <c r="J93" s="96"/>
      <c r="K93" s="11" t="s">
        <v>24</v>
      </c>
      <c r="L93" s="11" t="s">
        <v>30</v>
      </c>
      <c r="M93" s="11" t="s">
        <v>35</v>
      </c>
      <c r="N93" s="11" t="s">
        <v>31</v>
      </c>
      <c r="O93" s="11" t="e">
        <f>#REF!</f>
        <v>#REF!</v>
      </c>
      <c r="P93" s="6" t="s">
        <v>55</v>
      </c>
      <c r="Q93" s="9" t="s">
        <v>25</v>
      </c>
    </row>
    <row r="94" spans="1:18" hidden="1" x14ac:dyDescent="0.25"/>
    <row r="95" spans="1:18" hidden="1" x14ac:dyDescent="0.25"/>
    <row r="96" spans="1:18" hidden="1" x14ac:dyDescent="0.25"/>
    <row r="97" hidden="1" x14ac:dyDescent="0.25"/>
  </sheetData>
  <mergeCells count="40">
    <mergeCell ref="J68:J71"/>
    <mergeCell ref="C45:C47"/>
    <mergeCell ref="C65:C66"/>
    <mergeCell ref="J91:J93"/>
    <mergeCell ref="B74:B82"/>
    <mergeCell ref="C62:C64"/>
    <mergeCell ref="C74:C82"/>
    <mergeCell ref="C68:C71"/>
    <mergeCell ref="C53:C61"/>
    <mergeCell ref="B39:B52"/>
    <mergeCell ref="C39:C44"/>
    <mergeCell ref="D39:D52"/>
    <mergeCell ref="J7:M7"/>
    <mergeCell ref="N7:Q7"/>
    <mergeCell ref="A1:B1"/>
    <mergeCell ref="A4:B5"/>
    <mergeCell ref="D4:Q4"/>
    <mergeCell ref="D5:Q5"/>
    <mergeCell ref="A6:G6"/>
    <mergeCell ref="J6:Q6"/>
    <mergeCell ref="D1:F1"/>
    <mergeCell ref="J1:Q1"/>
    <mergeCell ref="A2:B3"/>
    <mergeCell ref="D2:Q2"/>
    <mergeCell ref="D3:Q3"/>
    <mergeCell ref="A39:A82"/>
    <mergeCell ref="A10:A25"/>
    <mergeCell ref="B53:B72"/>
    <mergeCell ref="D53:D61"/>
    <mergeCell ref="D62:D64"/>
    <mergeCell ref="D65:D66"/>
    <mergeCell ref="D68:D71"/>
    <mergeCell ref="D74:D82"/>
    <mergeCell ref="B27:B37"/>
    <mergeCell ref="C27:C37"/>
    <mergeCell ref="D27:D37"/>
    <mergeCell ref="A27:A37"/>
    <mergeCell ref="B10:B25"/>
    <mergeCell ref="C10:C25"/>
    <mergeCell ref="D10:D25"/>
  </mergeCells>
  <phoneticPr fontId="5" type="noConversion"/>
  <printOptions verticalCentered="1"/>
  <pageMargins left="0.118110236220472" right="0.118110236220472" top="0.74803149606299202" bottom="0.74803149606299202" header="0.31496062992126" footer="0.31496062992126"/>
  <pageSetup paperSize="9" scale="70" fitToWidth="0" orientation="landscape" r:id="rId1"/>
  <ignoredErrors>
    <ignoredError sqref="E16 E22" numberStoredAsText="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932C-E969-47AE-894B-AD730EBD1A08}">
  <sheetPr>
    <pageSetUpPr fitToPage="1"/>
  </sheetPr>
  <dimension ref="A1:V72"/>
  <sheetViews>
    <sheetView topLeftCell="D20" zoomScale="85" zoomScaleNormal="85" workbookViewId="0">
      <selection activeCell="F48" sqref="F48"/>
    </sheetView>
  </sheetViews>
  <sheetFormatPr baseColWidth="10" defaultRowHeight="15" x14ac:dyDescent="0.25"/>
  <cols>
    <col min="1" max="1" width="14.28515625" customWidth="1"/>
    <col min="2" max="2" width="28" customWidth="1"/>
    <col min="3" max="3" width="41.85546875" customWidth="1"/>
    <col min="4" max="4" width="30.7109375" customWidth="1"/>
    <col min="5" max="5" width="16.85546875" customWidth="1"/>
    <col min="6" max="6" width="44.42578125" customWidth="1"/>
    <col min="7" max="9" width="18.5703125" customWidth="1"/>
    <col min="10" max="10" width="6.5703125" customWidth="1"/>
    <col min="11" max="12" width="5.85546875" customWidth="1"/>
    <col min="13" max="13" width="6.42578125" customWidth="1"/>
    <col min="14" max="15" width="12" customWidth="1"/>
    <col min="16" max="16" width="12.140625" customWidth="1"/>
    <col min="17" max="18" width="13" customWidth="1"/>
    <col min="19" max="19" width="9.85546875" customWidth="1"/>
    <col min="20" max="20" width="12" customWidth="1"/>
    <col min="21" max="21" width="11.42578125" hidden="1" customWidth="1"/>
    <col min="22" max="22" width="1" hidden="1" customWidth="1"/>
    <col min="24" max="24" width="11.42578125" customWidth="1"/>
  </cols>
  <sheetData>
    <row r="1" spans="1:17" ht="48.75" customHeight="1" x14ac:dyDescent="0.25">
      <c r="B1" s="16"/>
      <c r="C1" s="16" t="s">
        <v>0</v>
      </c>
      <c r="D1" s="91" t="s">
        <v>328</v>
      </c>
      <c r="E1" s="91"/>
      <c r="F1" s="91"/>
      <c r="G1" s="16" t="s">
        <v>1</v>
      </c>
      <c r="H1" s="16"/>
      <c r="I1" s="16"/>
      <c r="J1" s="74" t="s">
        <v>820</v>
      </c>
      <c r="K1" s="74"/>
      <c r="L1" s="74"/>
      <c r="M1" s="74"/>
      <c r="N1" s="74"/>
      <c r="O1" s="74"/>
      <c r="P1" s="74"/>
      <c r="Q1" s="74"/>
    </row>
    <row r="2" spans="1:17" ht="15" customHeight="1" x14ac:dyDescent="0.25">
      <c r="A2" s="92" t="s">
        <v>91</v>
      </c>
      <c r="B2" s="92"/>
      <c r="C2" s="17" t="s">
        <v>6</v>
      </c>
      <c r="D2" s="85"/>
      <c r="E2" s="85"/>
      <c r="F2" s="85"/>
      <c r="G2" s="85"/>
      <c r="H2" s="85"/>
      <c r="I2" s="85"/>
      <c r="J2" s="85"/>
      <c r="K2" s="85"/>
      <c r="L2" s="85"/>
      <c r="M2" s="85"/>
      <c r="N2" s="85"/>
      <c r="O2" s="85"/>
      <c r="P2" s="85"/>
      <c r="Q2" s="85"/>
    </row>
    <row r="3" spans="1:17" x14ac:dyDescent="0.25">
      <c r="A3" s="92"/>
      <c r="B3" s="92"/>
      <c r="C3" s="17" t="s">
        <v>7</v>
      </c>
      <c r="D3" s="85"/>
      <c r="E3" s="85"/>
      <c r="F3" s="85"/>
      <c r="G3" s="85"/>
      <c r="H3" s="85"/>
      <c r="I3" s="85"/>
      <c r="J3" s="85"/>
      <c r="K3" s="85"/>
      <c r="L3" s="85"/>
      <c r="M3" s="85"/>
      <c r="N3" s="85"/>
      <c r="O3" s="85"/>
      <c r="P3" s="85"/>
      <c r="Q3" s="85"/>
    </row>
    <row r="4" spans="1:17" ht="15" customHeight="1" x14ac:dyDescent="0.25">
      <c r="A4" s="83" t="s">
        <v>92</v>
      </c>
      <c r="B4" s="83"/>
      <c r="C4" s="18" t="s">
        <v>8</v>
      </c>
      <c r="D4" s="180"/>
      <c r="E4" s="181"/>
      <c r="F4" s="181"/>
      <c r="G4" s="181"/>
      <c r="H4" s="181"/>
      <c r="I4" s="181"/>
      <c r="J4" s="181"/>
      <c r="K4" s="181"/>
      <c r="L4" s="181"/>
      <c r="M4" s="181"/>
      <c r="N4" s="181"/>
      <c r="O4" s="181"/>
      <c r="P4" s="181"/>
      <c r="Q4" s="182"/>
    </row>
    <row r="5" spans="1:17" ht="15" customHeight="1" x14ac:dyDescent="0.25">
      <c r="A5" s="83"/>
      <c r="B5" s="83"/>
      <c r="C5" s="18" t="s">
        <v>9</v>
      </c>
      <c r="D5" s="183"/>
      <c r="E5" s="184"/>
      <c r="F5" s="184"/>
      <c r="G5" s="184"/>
      <c r="H5" s="184"/>
      <c r="I5" s="184"/>
      <c r="J5" s="184"/>
      <c r="K5" s="184"/>
      <c r="L5" s="184"/>
      <c r="M5" s="184"/>
      <c r="N5" s="184"/>
      <c r="O5" s="184"/>
      <c r="P5" s="184"/>
      <c r="Q5" s="185"/>
    </row>
    <row r="6" spans="1:17" ht="15" customHeight="1" x14ac:dyDescent="0.25">
      <c r="A6" s="86" t="s">
        <v>2</v>
      </c>
      <c r="B6" s="87"/>
      <c r="C6" s="87"/>
      <c r="D6" s="87"/>
      <c r="E6" s="87"/>
      <c r="F6" s="87"/>
      <c r="G6" s="87"/>
      <c r="H6" s="87"/>
      <c r="I6" s="88"/>
      <c r="J6" s="89" t="s">
        <v>3</v>
      </c>
      <c r="K6" s="90"/>
      <c r="L6" s="90"/>
      <c r="M6" s="90"/>
      <c r="N6" s="90"/>
      <c r="O6" s="90"/>
      <c r="P6" s="90"/>
      <c r="Q6" s="79"/>
    </row>
    <row r="7" spans="1:17" ht="15" customHeight="1" x14ac:dyDescent="0.25">
      <c r="A7" s="140" t="s">
        <v>10</v>
      </c>
      <c r="B7" s="140" t="s">
        <v>11</v>
      </c>
      <c r="C7" s="140" t="s">
        <v>12</v>
      </c>
      <c r="D7" s="140" t="s">
        <v>94</v>
      </c>
      <c r="E7" s="141" t="s">
        <v>13</v>
      </c>
      <c r="F7" s="140" t="s">
        <v>14</v>
      </c>
      <c r="G7" s="142" t="s">
        <v>95</v>
      </c>
      <c r="H7" s="466" t="s">
        <v>121</v>
      </c>
      <c r="I7" s="467"/>
      <c r="J7" s="79" t="s">
        <v>4</v>
      </c>
      <c r="K7" s="80"/>
      <c r="L7" s="80"/>
      <c r="M7" s="80"/>
      <c r="N7" s="80" t="s">
        <v>5</v>
      </c>
      <c r="O7" s="80"/>
      <c r="P7" s="80"/>
      <c r="Q7" s="80"/>
    </row>
    <row r="8" spans="1:17" x14ac:dyDescent="0.25">
      <c r="A8" s="143"/>
      <c r="B8" s="143"/>
      <c r="C8" s="143"/>
      <c r="D8" s="143"/>
      <c r="E8" s="144"/>
      <c r="F8" s="143"/>
      <c r="G8" s="145"/>
      <c r="H8" s="468" t="s">
        <v>122</v>
      </c>
      <c r="I8" s="468" t="s">
        <v>118</v>
      </c>
      <c r="J8" s="25" t="s">
        <v>15</v>
      </c>
      <c r="K8" s="25" t="s">
        <v>16</v>
      </c>
      <c r="L8" s="25" t="s">
        <v>17</v>
      </c>
      <c r="M8" s="25" t="s">
        <v>18</v>
      </c>
      <c r="N8" s="25" t="s">
        <v>15</v>
      </c>
      <c r="O8" s="25" t="s">
        <v>16</v>
      </c>
      <c r="P8" s="25" t="s">
        <v>17</v>
      </c>
      <c r="Q8" s="26" t="s">
        <v>18</v>
      </c>
    </row>
    <row r="9" spans="1:17" x14ac:dyDescent="0.25">
      <c r="A9" s="85"/>
      <c r="B9" s="85"/>
      <c r="C9" s="615" t="s">
        <v>821</v>
      </c>
      <c r="D9" s="85"/>
      <c r="E9" s="616">
        <v>321.710105</v>
      </c>
      <c r="F9" s="617" t="s">
        <v>822</v>
      </c>
      <c r="G9" s="63">
        <v>51456</v>
      </c>
      <c r="H9" s="63"/>
      <c r="I9" s="63">
        <f>+G9+H9</f>
        <v>51456</v>
      </c>
      <c r="J9" s="590">
        <v>0.35</v>
      </c>
      <c r="K9" s="590">
        <v>0.35</v>
      </c>
      <c r="L9" s="590">
        <v>0.3</v>
      </c>
      <c r="M9" s="618">
        <f t="shared" ref="M9" si="0">SUM(J9:L9)</f>
        <v>1</v>
      </c>
      <c r="N9" s="619">
        <f>+G9*J9</f>
        <v>18009.599999999999</v>
      </c>
      <c r="O9" s="619">
        <f>+G9*K9</f>
        <v>18009.599999999999</v>
      </c>
      <c r="P9" s="619">
        <f>+G9*L9</f>
        <v>15436.8</v>
      </c>
      <c r="Q9" s="619">
        <f>SUM(N9:P9)</f>
        <v>51456</v>
      </c>
    </row>
    <row r="10" spans="1:17" x14ac:dyDescent="0.25">
      <c r="A10" s="85"/>
      <c r="B10" s="85"/>
      <c r="C10" s="615"/>
      <c r="D10" s="85"/>
      <c r="E10" s="616">
        <v>321.71020299999998</v>
      </c>
      <c r="F10" s="617" t="s">
        <v>823</v>
      </c>
      <c r="G10" s="63">
        <v>4288</v>
      </c>
      <c r="H10" s="63"/>
      <c r="I10" s="63">
        <f t="shared" ref="I10:I48" si="1">+G10+H10</f>
        <v>4288</v>
      </c>
      <c r="J10" s="590">
        <v>0.35</v>
      </c>
      <c r="K10" s="590">
        <v>0.35</v>
      </c>
      <c r="L10" s="590">
        <v>0.3</v>
      </c>
      <c r="M10" s="618">
        <f>SUM(J10:L10)</f>
        <v>1</v>
      </c>
      <c r="N10" s="619">
        <f>+G10*J10</f>
        <v>1500.8</v>
      </c>
      <c r="O10" s="619">
        <f>+G10*K10</f>
        <v>1500.8</v>
      </c>
      <c r="P10" s="619">
        <f>+G10*L10</f>
        <v>1286.3999999999999</v>
      </c>
      <c r="Q10" s="619">
        <f>SUM(N10:P10)</f>
        <v>4288</v>
      </c>
    </row>
    <row r="11" spans="1:17" x14ac:dyDescent="0.25">
      <c r="A11" s="85"/>
      <c r="B11" s="85"/>
      <c r="C11" s="615"/>
      <c r="D11" s="85"/>
      <c r="E11" s="616">
        <v>321.71020399999998</v>
      </c>
      <c r="F11" s="617" t="s">
        <v>824</v>
      </c>
      <c r="G11" s="63">
        <v>1700</v>
      </c>
      <c r="H11" s="63"/>
      <c r="I11" s="63">
        <f t="shared" si="1"/>
        <v>1700</v>
      </c>
      <c r="J11" s="590">
        <v>0.35</v>
      </c>
      <c r="K11" s="590">
        <v>0.35</v>
      </c>
      <c r="L11" s="590">
        <v>0.3</v>
      </c>
      <c r="M11" s="618">
        <f>SUM(J11:L11)</f>
        <v>1</v>
      </c>
      <c r="N11" s="619">
        <f>+G11*J11</f>
        <v>595</v>
      </c>
      <c r="O11" s="619">
        <f>+G11*K11</f>
        <v>595</v>
      </c>
      <c r="P11" s="619">
        <f>+G11*L11</f>
        <v>510</v>
      </c>
      <c r="Q11" s="619">
        <f>SUM(N11:P11)</f>
        <v>1700</v>
      </c>
    </row>
    <row r="12" spans="1:17" x14ac:dyDescent="0.25">
      <c r="A12" s="85"/>
      <c r="B12" s="85"/>
      <c r="C12" s="615"/>
      <c r="D12" s="85"/>
      <c r="E12" s="616">
        <v>321.710601</v>
      </c>
      <c r="F12" s="617" t="s">
        <v>825</v>
      </c>
      <c r="G12" s="63">
        <v>5994.62</v>
      </c>
      <c r="H12" s="63"/>
      <c r="I12" s="63">
        <f t="shared" si="1"/>
        <v>5994.62</v>
      </c>
      <c r="J12" s="590"/>
      <c r="K12" s="590"/>
      <c r="L12" s="590"/>
      <c r="M12" s="618"/>
      <c r="N12" s="619"/>
      <c r="O12" s="619"/>
      <c r="P12" s="619"/>
      <c r="Q12" s="619"/>
    </row>
    <row r="13" spans="1:17" x14ac:dyDescent="0.25">
      <c r="A13" s="85"/>
      <c r="B13" s="85"/>
      <c r="C13" s="615"/>
      <c r="D13" s="85"/>
      <c r="E13" s="616">
        <v>321.71060199999999</v>
      </c>
      <c r="F13" s="617" t="s">
        <v>826</v>
      </c>
      <c r="G13" s="63">
        <v>4288</v>
      </c>
      <c r="H13" s="63"/>
      <c r="I13" s="63">
        <f t="shared" si="1"/>
        <v>4288</v>
      </c>
      <c r="J13" s="590"/>
      <c r="K13" s="590"/>
      <c r="L13" s="590"/>
      <c r="M13" s="618"/>
      <c r="N13" s="619"/>
      <c r="O13" s="619"/>
      <c r="P13" s="619"/>
      <c r="Q13" s="619"/>
    </row>
    <row r="14" spans="1:17" x14ac:dyDescent="0.25">
      <c r="A14" s="85"/>
      <c r="B14" s="85"/>
      <c r="C14" s="615"/>
      <c r="D14" s="85"/>
      <c r="E14" s="616">
        <v>321.840103</v>
      </c>
      <c r="F14" s="617" t="s">
        <v>617</v>
      </c>
      <c r="G14" s="63">
        <v>1000</v>
      </c>
      <c r="H14" s="63"/>
      <c r="I14" s="63">
        <f t="shared" si="1"/>
        <v>1000</v>
      </c>
      <c r="J14" s="590"/>
      <c r="K14" s="590"/>
      <c r="L14" s="590"/>
      <c r="M14" s="618"/>
      <c r="N14" s="619"/>
      <c r="O14" s="619"/>
      <c r="P14" s="619"/>
      <c r="Q14" s="619"/>
    </row>
    <row r="15" spans="1:17" x14ac:dyDescent="0.25">
      <c r="A15" s="85"/>
      <c r="B15" s="85"/>
      <c r="C15" s="615"/>
      <c r="D15" s="85"/>
      <c r="E15" s="616">
        <v>321.73080399999998</v>
      </c>
      <c r="F15" s="617" t="s">
        <v>827</v>
      </c>
      <c r="G15" s="63">
        <v>400</v>
      </c>
      <c r="H15" s="63"/>
      <c r="I15" s="63">
        <f t="shared" si="1"/>
        <v>400</v>
      </c>
      <c r="J15" s="590">
        <v>0</v>
      </c>
      <c r="K15" s="590">
        <v>1</v>
      </c>
      <c r="L15" s="590">
        <v>0</v>
      </c>
      <c r="M15" s="618">
        <f>SUM(J15:L15)</f>
        <v>1</v>
      </c>
      <c r="N15" s="619">
        <f>+G15*J15</f>
        <v>0</v>
      </c>
      <c r="O15" s="619">
        <f>+G15*K15</f>
        <v>400</v>
      </c>
      <c r="P15" s="619">
        <f>+G15*L15</f>
        <v>0</v>
      </c>
      <c r="Q15" s="619">
        <f>SUM(N15:P15)</f>
        <v>400</v>
      </c>
    </row>
    <row r="16" spans="1:17" ht="22.5" x14ac:dyDescent="0.25">
      <c r="A16" s="85"/>
      <c r="B16" s="85"/>
      <c r="C16" s="615"/>
      <c r="D16" s="85"/>
      <c r="E16" s="616">
        <v>321.71070700000001</v>
      </c>
      <c r="F16" s="617" t="s">
        <v>828</v>
      </c>
      <c r="G16" s="63">
        <v>500</v>
      </c>
      <c r="H16" s="63"/>
      <c r="I16" s="63">
        <f t="shared" si="1"/>
        <v>500</v>
      </c>
      <c r="J16" s="590">
        <v>0.35</v>
      </c>
      <c r="K16" s="590">
        <v>0.35</v>
      </c>
      <c r="L16" s="590">
        <v>0.3</v>
      </c>
      <c r="M16" s="618">
        <f>SUM(J16:L16)</f>
        <v>1</v>
      </c>
      <c r="N16" s="619">
        <f>+G16*J16</f>
        <v>175</v>
      </c>
      <c r="O16" s="619">
        <f>+G16*K16</f>
        <v>175</v>
      </c>
      <c r="P16" s="619">
        <f>+G16*L16</f>
        <v>150</v>
      </c>
      <c r="Q16" s="619">
        <f>SUM(N16:P16)</f>
        <v>500</v>
      </c>
    </row>
    <row r="17" spans="1:17" x14ac:dyDescent="0.25">
      <c r="A17" s="85"/>
      <c r="B17" s="85"/>
      <c r="C17" s="620" t="s">
        <v>829</v>
      </c>
      <c r="D17" s="85"/>
      <c r="E17" s="621">
        <v>321.710509</v>
      </c>
      <c r="F17" s="622" t="s">
        <v>830</v>
      </c>
      <c r="G17" s="63">
        <v>750</v>
      </c>
      <c r="H17" s="63">
        <v>2000</v>
      </c>
      <c r="I17" s="63">
        <f t="shared" si="1"/>
        <v>2750</v>
      </c>
      <c r="J17" s="623">
        <v>0.35</v>
      </c>
      <c r="K17" s="623">
        <v>0.35</v>
      </c>
      <c r="L17" s="623">
        <v>0.3</v>
      </c>
      <c r="M17" s="624">
        <f>SUM(J17:L17)</f>
        <v>1</v>
      </c>
      <c r="N17" s="499">
        <f>G17*J17</f>
        <v>262.5</v>
      </c>
      <c r="O17" s="499">
        <f t="shared" ref="O17:P29" si="2">J17*K17</f>
        <v>0.12249999999999998</v>
      </c>
      <c r="P17" s="499">
        <f t="shared" si="2"/>
        <v>0.105</v>
      </c>
      <c r="Q17" s="499">
        <f>SUM(N17:P17)</f>
        <v>262.72750000000002</v>
      </c>
    </row>
    <row r="18" spans="1:17" x14ac:dyDescent="0.25">
      <c r="A18" s="85"/>
      <c r="B18" s="85"/>
      <c r="C18" s="620"/>
      <c r="D18" s="85"/>
      <c r="E18" s="46" t="s">
        <v>831</v>
      </c>
      <c r="F18" s="622" t="s">
        <v>20</v>
      </c>
      <c r="G18" s="63">
        <v>17664</v>
      </c>
      <c r="H18" s="63"/>
      <c r="I18" s="63">
        <f t="shared" si="1"/>
        <v>17664</v>
      </c>
      <c r="J18" s="623">
        <v>0.35</v>
      </c>
      <c r="K18" s="623">
        <v>0.35</v>
      </c>
      <c r="L18" s="623">
        <v>0.3</v>
      </c>
      <c r="M18" s="624">
        <f t="shared" ref="M18:M29" si="3">SUM(J18:L18)</f>
        <v>1</v>
      </c>
      <c r="N18" s="499">
        <f t="shared" ref="N18:N29" si="4">G18*J18</f>
        <v>6182.4</v>
      </c>
      <c r="O18" s="499">
        <f t="shared" si="2"/>
        <v>0.12249999999999998</v>
      </c>
      <c r="P18" s="499">
        <f t="shared" si="2"/>
        <v>0.105</v>
      </c>
      <c r="Q18" s="499">
        <f t="shared" ref="Q18:Q29" si="5">SUM(N18:P18)</f>
        <v>6182.6274999999996</v>
      </c>
    </row>
    <row r="19" spans="1:17" x14ac:dyDescent="0.25">
      <c r="A19" s="85"/>
      <c r="B19" s="85"/>
      <c r="C19" s="620"/>
      <c r="D19" s="85"/>
      <c r="E19" s="621">
        <v>322.710106</v>
      </c>
      <c r="F19" s="622" t="s">
        <v>832</v>
      </c>
      <c r="G19" s="63">
        <v>33048</v>
      </c>
      <c r="H19" s="63"/>
      <c r="I19" s="63">
        <f t="shared" si="1"/>
        <v>33048</v>
      </c>
      <c r="J19" s="623">
        <v>0.35</v>
      </c>
      <c r="K19" s="623">
        <v>0.35</v>
      </c>
      <c r="L19" s="623">
        <v>0.3</v>
      </c>
      <c r="M19" s="624">
        <f t="shared" si="3"/>
        <v>1</v>
      </c>
      <c r="N19" s="499">
        <f t="shared" si="4"/>
        <v>11566.8</v>
      </c>
      <c r="O19" s="499">
        <f t="shared" si="2"/>
        <v>0.12249999999999998</v>
      </c>
      <c r="P19" s="499">
        <f t="shared" si="2"/>
        <v>0.105</v>
      </c>
      <c r="Q19" s="499">
        <f t="shared" si="5"/>
        <v>11567.027499999998</v>
      </c>
    </row>
    <row r="20" spans="1:17" x14ac:dyDescent="0.25">
      <c r="A20" s="85"/>
      <c r="B20" s="85"/>
      <c r="C20" s="620"/>
      <c r="D20" s="85"/>
      <c r="E20" s="621">
        <v>322.71020299999998</v>
      </c>
      <c r="F20" s="622" t="s">
        <v>823</v>
      </c>
      <c r="G20" s="63">
        <f>4161.54+64.46</f>
        <v>4226</v>
      </c>
      <c r="H20" s="63"/>
      <c r="I20" s="63">
        <f t="shared" si="1"/>
        <v>4226</v>
      </c>
      <c r="J20" s="623">
        <v>0.35</v>
      </c>
      <c r="K20" s="623">
        <v>0.35</v>
      </c>
      <c r="L20" s="623">
        <v>0.3</v>
      </c>
      <c r="M20" s="624">
        <f t="shared" si="3"/>
        <v>1</v>
      </c>
      <c r="N20" s="499">
        <f t="shared" si="4"/>
        <v>1479.1</v>
      </c>
      <c r="O20" s="499">
        <f t="shared" si="2"/>
        <v>0.12249999999999998</v>
      </c>
      <c r="P20" s="499">
        <f t="shared" si="2"/>
        <v>0.105</v>
      </c>
      <c r="Q20" s="499">
        <f t="shared" si="5"/>
        <v>1479.3274999999999</v>
      </c>
    </row>
    <row r="21" spans="1:17" x14ac:dyDescent="0.25">
      <c r="A21" s="85"/>
      <c r="B21" s="85"/>
      <c r="C21" s="620"/>
      <c r="D21" s="85"/>
      <c r="E21" s="621">
        <v>322.71020399999998</v>
      </c>
      <c r="F21" s="622" t="s">
        <v>824</v>
      </c>
      <c r="G21" s="63">
        <v>3825</v>
      </c>
      <c r="H21" s="63"/>
      <c r="I21" s="63">
        <f t="shared" si="1"/>
        <v>3825</v>
      </c>
      <c r="J21" s="623">
        <v>0.35</v>
      </c>
      <c r="K21" s="623">
        <v>0.35</v>
      </c>
      <c r="L21" s="623">
        <v>0.3</v>
      </c>
      <c r="M21" s="624">
        <f t="shared" si="3"/>
        <v>1</v>
      </c>
      <c r="N21" s="499">
        <f t="shared" si="4"/>
        <v>1338.75</v>
      </c>
      <c r="O21" s="499">
        <f t="shared" si="2"/>
        <v>0.12249999999999998</v>
      </c>
      <c r="P21" s="499">
        <f t="shared" si="2"/>
        <v>0.105</v>
      </c>
      <c r="Q21" s="499">
        <f t="shared" si="5"/>
        <v>1338.9775</v>
      </c>
    </row>
    <row r="22" spans="1:17" x14ac:dyDescent="0.25">
      <c r="A22" s="85"/>
      <c r="B22" s="85"/>
      <c r="C22" s="620"/>
      <c r="D22" s="85"/>
      <c r="E22" s="621">
        <v>322.710601</v>
      </c>
      <c r="F22" s="622" t="s">
        <v>825</v>
      </c>
      <c r="G22" s="63">
        <f>6178.87+96.69</f>
        <v>6275.5599999999995</v>
      </c>
      <c r="H22" s="63"/>
      <c r="I22" s="63">
        <f t="shared" si="1"/>
        <v>6275.5599999999995</v>
      </c>
      <c r="J22" s="623">
        <v>0.35</v>
      </c>
      <c r="K22" s="623">
        <v>0.35</v>
      </c>
      <c r="L22" s="623">
        <v>0.3</v>
      </c>
      <c r="M22" s="624">
        <f t="shared" si="3"/>
        <v>1</v>
      </c>
      <c r="N22" s="499">
        <f t="shared" si="4"/>
        <v>2196.4459999999995</v>
      </c>
      <c r="O22" s="499">
        <f t="shared" si="2"/>
        <v>0.12249999999999998</v>
      </c>
      <c r="P22" s="499">
        <f t="shared" si="2"/>
        <v>0.105</v>
      </c>
      <c r="Q22" s="499">
        <f t="shared" si="5"/>
        <v>2196.6734999999994</v>
      </c>
    </row>
    <row r="23" spans="1:17" x14ac:dyDescent="0.25">
      <c r="A23" s="85"/>
      <c r="B23" s="85"/>
      <c r="C23" s="620"/>
      <c r="D23" s="85"/>
      <c r="E23" s="621">
        <v>322.71060199999999</v>
      </c>
      <c r="F23" s="622" t="s">
        <v>826</v>
      </c>
      <c r="G23" s="63">
        <v>4226</v>
      </c>
      <c r="H23" s="63"/>
      <c r="I23" s="63">
        <f t="shared" si="1"/>
        <v>4226</v>
      </c>
      <c r="J23" s="623">
        <v>0.35</v>
      </c>
      <c r="K23" s="623">
        <v>0.35</v>
      </c>
      <c r="L23" s="623">
        <v>0.3</v>
      </c>
      <c r="M23" s="624">
        <f t="shared" si="3"/>
        <v>1</v>
      </c>
      <c r="N23" s="499">
        <f t="shared" si="4"/>
        <v>1479.1</v>
      </c>
      <c r="O23" s="499">
        <f t="shared" si="2"/>
        <v>0.12249999999999998</v>
      </c>
      <c r="P23" s="499">
        <f t="shared" si="2"/>
        <v>0.105</v>
      </c>
      <c r="Q23" s="499">
        <f t="shared" si="5"/>
        <v>1479.3274999999999</v>
      </c>
    </row>
    <row r="24" spans="1:17" x14ac:dyDescent="0.25">
      <c r="A24" s="85"/>
      <c r="B24" s="85"/>
      <c r="C24" s="620"/>
      <c r="D24" s="85"/>
      <c r="E24" s="621">
        <v>322.71030400000001</v>
      </c>
      <c r="F24" s="622" t="s">
        <v>833</v>
      </c>
      <c r="G24" s="63">
        <v>792</v>
      </c>
      <c r="H24" s="63"/>
      <c r="I24" s="63">
        <f t="shared" si="1"/>
        <v>792</v>
      </c>
      <c r="J24" s="623">
        <v>0.35</v>
      </c>
      <c r="K24" s="623">
        <v>0.35</v>
      </c>
      <c r="L24" s="623">
        <v>0.3</v>
      </c>
      <c r="M24" s="624">
        <f t="shared" si="3"/>
        <v>1</v>
      </c>
      <c r="N24" s="499">
        <f t="shared" si="4"/>
        <v>277.2</v>
      </c>
      <c r="O24" s="499">
        <f t="shared" si="2"/>
        <v>0.12249999999999998</v>
      </c>
      <c r="P24" s="499">
        <f t="shared" si="2"/>
        <v>0.105</v>
      </c>
      <c r="Q24" s="499">
        <f t="shared" si="5"/>
        <v>277.42750000000001</v>
      </c>
    </row>
    <row r="25" spans="1:17" x14ac:dyDescent="0.25">
      <c r="A25" s="85"/>
      <c r="B25" s="85"/>
      <c r="C25" s="620"/>
      <c r="D25" s="85"/>
      <c r="E25" s="621">
        <v>322.710306</v>
      </c>
      <c r="F25" s="622" t="s">
        <v>834</v>
      </c>
      <c r="G25" s="63">
        <v>4752</v>
      </c>
      <c r="H25" s="63"/>
      <c r="I25" s="63">
        <f t="shared" si="1"/>
        <v>4752</v>
      </c>
      <c r="J25" s="623">
        <v>0.35</v>
      </c>
      <c r="K25" s="623">
        <v>0.35</v>
      </c>
      <c r="L25" s="623">
        <v>0.3</v>
      </c>
      <c r="M25" s="624">
        <f t="shared" si="3"/>
        <v>1</v>
      </c>
      <c r="N25" s="499">
        <f t="shared" si="4"/>
        <v>1663.1999999999998</v>
      </c>
      <c r="O25" s="499">
        <f t="shared" si="2"/>
        <v>0.12249999999999998</v>
      </c>
      <c r="P25" s="499">
        <f t="shared" si="2"/>
        <v>0.105</v>
      </c>
      <c r="Q25" s="499">
        <f t="shared" si="5"/>
        <v>1663.4274999999998</v>
      </c>
    </row>
    <row r="26" spans="1:17" x14ac:dyDescent="0.25">
      <c r="A26" s="85"/>
      <c r="B26" s="85"/>
      <c r="C26" s="620"/>
      <c r="D26" s="85"/>
      <c r="E26" s="621">
        <v>322.71040099999999</v>
      </c>
      <c r="F26" s="622" t="s">
        <v>835</v>
      </c>
      <c r="G26" s="63">
        <v>813.84</v>
      </c>
      <c r="H26" s="63"/>
      <c r="I26" s="63">
        <f t="shared" si="1"/>
        <v>813.84</v>
      </c>
      <c r="J26" s="623">
        <v>0.35</v>
      </c>
      <c r="K26" s="623">
        <v>0.35</v>
      </c>
      <c r="L26" s="623">
        <v>0.3</v>
      </c>
      <c r="M26" s="624">
        <f t="shared" si="3"/>
        <v>1</v>
      </c>
      <c r="N26" s="499">
        <f t="shared" si="4"/>
        <v>284.84399999999999</v>
      </c>
      <c r="O26" s="499">
        <f t="shared" si="2"/>
        <v>0.12249999999999998</v>
      </c>
      <c r="P26" s="499">
        <f t="shared" si="2"/>
        <v>0.105</v>
      </c>
      <c r="Q26" s="499">
        <f t="shared" si="5"/>
        <v>285.07150000000001</v>
      </c>
    </row>
    <row r="27" spans="1:17" x14ac:dyDescent="0.25">
      <c r="A27" s="85"/>
      <c r="B27" s="85"/>
      <c r="C27" s="620"/>
      <c r="D27" s="85"/>
      <c r="E27" s="621">
        <v>322.71040199999999</v>
      </c>
      <c r="F27" s="622" t="s">
        <v>836</v>
      </c>
      <c r="G27" s="63">
        <v>107.52</v>
      </c>
      <c r="H27" s="63"/>
      <c r="I27" s="63">
        <f t="shared" si="1"/>
        <v>107.52</v>
      </c>
      <c r="J27" s="623">
        <v>0.35</v>
      </c>
      <c r="K27" s="623">
        <v>0.35</v>
      </c>
      <c r="L27" s="623">
        <v>0.3</v>
      </c>
      <c r="M27" s="624">
        <f t="shared" si="3"/>
        <v>1</v>
      </c>
      <c r="N27" s="499">
        <f t="shared" si="4"/>
        <v>37.631999999999998</v>
      </c>
      <c r="O27" s="499">
        <f t="shared" si="2"/>
        <v>0.12249999999999998</v>
      </c>
      <c r="P27" s="499">
        <f t="shared" si="2"/>
        <v>0.105</v>
      </c>
      <c r="Q27" s="499">
        <f t="shared" si="5"/>
        <v>37.859499999999997</v>
      </c>
    </row>
    <row r="28" spans="1:17" x14ac:dyDescent="0.25">
      <c r="A28" s="85"/>
      <c r="B28" s="85"/>
      <c r="C28" s="620"/>
      <c r="D28" s="85"/>
      <c r="E28" s="621">
        <v>322.71040799999997</v>
      </c>
      <c r="F28" s="622" t="s">
        <v>837</v>
      </c>
      <c r="G28" s="63">
        <v>788.42</v>
      </c>
      <c r="H28" s="63"/>
      <c r="I28" s="63">
        <f t="shared" si="1"/>
        <v>788.42</v>
      </c>
      <c r="J28" s="623">
        <v>0.35</v>
      </c>
      <c r="K28" s="623">
        <v>0.35</v>
      </c>
      <c r="L28" s="623">
        <v>0.3</v>
      </c>
      <c r="M28" s="624">
        <f t="shared" si="3"/>
        <v>1</v>
      </c>
      <c r="N28" s="499">
        <f t="shared" si="4"/>
        <v>275.94699999999995</v>
      </c>
      <c r="O28" s="499">
        <f t="shared" si="2"/>
        <v>0.12249999999999998</v>
      </c>
      <c r="P28" s="499">
        <f t="shared" si="2"/>
        <v>0.105</v>
      </c>
      <c r="Q28" s="499">
        <f t="shared" si="5"/>
        <v>276.17449999999997</v>
      </c>
    </row>
    <row r="29" spans="1:17" x14ac:dyDescent="0.25">
      <c r="A29" s="85"/>
      <c r="B29" s="85"/>
      <c r="C29" s="620"/>
      <c r="D29" s="85"/>
      <c r="E29" s="621">
        <v>730235</v>
      </c>
      <c r="F29" s="622" t="s">
        <v>838</v>
      </c>
      <c r="G29" s="63">
        <v>500</v>
      </c>
      <c r="H29" s="63"/>
      <c r="I29" s="63">
        <f t="shared" si="1"/>
        <v>500</v>
      </c>
      <c r="J29" s="623">
        <v>0.35</v>
      </c>
      <c r="K29" s="623">
        <v>0.35</v>
      </c>
      <c r="L29" s="623">
        <v>0.3</v>
      </c>
      <c r="M29" s="624">
        <f t="shared" si="3"/>
        <v>1</v>
      </c>
      <c r="N29" s="499">
        <f t="shared" si="4"/>
        <v>175</v>
      </c>
      <c r="O29" s="499">
        <f t="shared" si="2"/>
        <v>0.12249999999999998</v>
      </c>
      <c r="P29" s="499">
        <f t="shared" si="2"/>
        <v>0.105</v>
      </c>
      <c r="Q29" s="499">
        <f t="shared" si="5"/>
        <v>175.22749999999999</v>
      </c>
    </row>
    <row r="30" spans="1:17" ht="22.5" x14ac:dyDescent="0.25">
      <c r="A30" s="85"/>
      <c r="B30" s="85"/>
      <c r="C30" s="620"/>
      <c r="D30" s="85"/>
      <c r="E30" s="621">
        <v>321.73040400000002</v>
      </c>
      <c r="F30" s="622" t="s">
        <v>839</v>
      </c>
      <c r="G30" s="63">
        <v>2000</v>
      </c>
      <c r="H30" s="63"/>
      <c r="I30" s="63">
        <f t="shared" si="1"/>
        <v>2000</v>
      </c>
      <c r="J30" s="623">
        <v>0</v>
      </c>
      <c r="K30" s="623">
        <v>1</v>
      </c>
      <c r="L30" s="623">
        <v>0</v>
      </c>
      <c r="M30" s="624">
        <f>SUM(J30:L30)</f>
        <v>1</v>
      </c>
      <c r="N30" s="499">
        <f>+G30*J30</f>
        <v>0</v>
      </c>
      <c r="O30" s="499">
        <f>+G30*K30</f>
        <v>2000</v>
      </c>
      <c r="P30" s="499">
        <f>+G30*L30</f>
        <v>0</v>
      </c>
      <c r="Q30" s="499">
        <f>SUM(N30:P30)</f>
        <v>2000</v>
      </c>
    </row>
    <row r="31" spans="1:17" x14ac:dyDescent="0.25">
      <c r="A31" s="85"/>
      <c r="B31" s="85"/>
      <c r="C31" s="620"/>
      <c r="D31" s="85"/>
      <c r="E31" s="621" t="s">
        <v>840</v>
      </c>
      <c r="F31" s="622" t="s">
        <v>841</v>
      </c>
      <c r="G31" s="63">
        <v>15000</v>
      </c>
      <c r="H31" s="63"/>
      <c r="I31" s="63">
        <f t="shared" si="1"/>
        <v>15000</v>
      </c>
      <c r="J31" s="623">
        <v>0</v>
      </c>
      <c r="K31" s="623">
        <v>1</v>
      </c>
      <c r="L31" s="623">
        <v>0</v>
      </c>
      <c r="M31" s="624">
        <f>SUM(J31:L31)</f>
        <v>1</v>
      </c>
      <c r="N31" s="499">
        <f>+G31*J31</f>
        <v>0</v>
      </c>
      <c r="O31" s="499">
        <f>+G31*K31</f>
        <v>15000</v>
      </c>
      <c r="P31" s="499">
        <f>+G31*L31</f>
        <v>0</v>
      </c>
      <c r="Q31" s="499">
        <f>SUM(N31:P31)</f>
        <v>15000</v>
      </c>
    </row>
    <row r="32" spans="1:17" x14ac:dyDescent="0.25">
      <c r="A32" s="85"/>
      <c r="B32" s="85"/>
      <c r="C32" s="620"/>
      <c r="D32" s="85"/>
      <c r="E32" s="621">
        <v>730609.00100000005</v>
      </c>
      <c r="F32" s="622" t="s">
        <v>842</v>
      </c>
      <c r="G32" s="63">
        <v>4856.46</v>
      </c>
      <c r="H32" s="63"/>
      <c r="I32" s="63">
        <f t="shared" si="1"/>
        <v>4856.46</v>
      </c>
      <c r="J32" s="623"/>
      <c r="K32" s="623"/>
      <c r="L32" s="623"/>
      <c r="M32" s="624"/>
      <c r="N32" s="499"/>
      <c r="O32" s="499"/>
      <c r="P32" s="499"/>
      <c r="Q32" s="499"/>
    </row>
    <row r="33" spans="1:17" ht="22.5" x14ac:dyDescent="0.25">
      <c r="A33" s="85"/>
      <c r="B33" s="85"/>
      <c r="C33" s="620"/>
      <c r="D33" s="85"/>
      <c r="E33" s="621">
        <v>321.73080199999998</v>
      </c>
      <c r="F33" s="622" t="s">
        <v>843</v>
      </c>
      <c r="G33" s="63">
        <v>3750</v>
      </c>
      <c r="H33" s="63"/>
      <c r="I33" s="63">
        <f t="shared" si="1"/>
        <v>3750</v>
      </c>
      <c r="J33" s="623">
        <v>1</v>
      </c>
      <c r="K33" s="623">
        <v>0</v>
      </c>
      <c r="L33" s="623">
        <v>0</v>
      </c>
      <c r="M33" s="624">
        <f t="shared" ref="M33:M40" si="6">SUM(J33:L33)</f>
        <v>1</v>
      </c>
      <c r="N33" s="499" t="e">
        <f>+#REF!*J33</f>
        <v>#REF!</v>
      </c>
      <c r="O33" s="499" t="e">
        <f>+#REF!*K33</f>
        <v>#REF!</v>
      </c>
      <c r="P33" s="499" t="e">
        <f>+#REF!*L33</f>
        <v>#REF!</v>
      </c>
      <c r="Q33" s="499" t="e">
        <f t="shared" ref="Q33:Q40" si="7">SUM(N33:P33)</f>
        <v>#REF!</v>
      </c>
    </row>
    <row r="34" spans="1:17" x14ac:dyDescent="0.25">
      <c r="A34" s="85"/>
      <c r="B34" s="85"/>
      <c r="C34" s="620"/>
      <c r="D34" s="85"/>
      <c r="E34" s="621">
        <v>321.73080499999998</v>
      </c>
      <c r="F34" s="622" t="s">
        <v>844</v>
      </c>
      <c r="G34" s="63">
        <v>400</v>
      </c>
      <c r="H34" s="63"/>
      <c r="I34" s="63">
        <f t="shared" si="1"/>
        <v>400</v>
      </c>
      <c r="J34" s="623">
        <v>0</v>
      </c>
      <c r="K34" s="623">
        <v>1</v>
      </c>
      <c r="L34" s="623">
        <v>0</v>
      </c>
      <c r="M34" s="624">
        <f t="shared" si="6"/>
        <v>1</v>
      </c>
      <c r="N34" s="499">
        <f t="shared" ref="N34:N40" si="8">+G34*J34</f>
        <v>0</v>
      </c>
      <c r="O34" s="499">
        <f t="shared" ref="O34:O40" si="9">+G34*K34</f>
        <v>400</v>
      </c>
      <c r="P34" s="499">
        <f t="shared" ref="P34:P40" si="10">+G34*L34</f>
        <v>0</v>
      </c>
      <c r="Q34" s="499">
        <f t="shared" si="7"/>
        <v>400</v>
      </c>
    </row>
    <row r="35" spans="1:17" x14ac:dyDescent="0.25">
      <c r="A35" s="85"/>
      <c r="B35" s="85"/>
      <c r="C35" s="620"/>
      <c r="D35" s="85"/>
      <c r="E35" s="621">
        <v>321.73140599999999</v>
      </c>
      <c r="F35" s="622" t="s">
        <v>845</v>
      </c>
      <c r="G35" s="63">
        <v>600</v>
      </c>
      <c r="H35" s="63"/>
      <c r="I35" s="63">
        <f t="shared" si="1"/>
        <v>600</v>
      </c>
      <c r="J35" s="623">
        <v>0</v>
      </c>
      <c r="K35" s="623">
        <v>1</v>
      </c>
      <c r="L35" s="623">
        <v>0</v>
      </c>
      <c r="M35" s="624">
        <f t="shared" si="6"/>
        <v>1</v>
      </c>
      <c r="N35" s="499">
        <f t="shared" si="8"/>
        <v>0</v>
      </c>
      <c r="O35" s="499">
        <f t="shared" si="9"/>
        <v>600</v>
      </c>
      <c r="P35" s="499">
        <f t="shared" si="10"/>
        <v>0</v>
      </c>
      <c r="Q35" s="499">
        <f t="shared" si="7"/>
        <v>600</v>
      </c>
    </row>
    <row r="36" spans="1:17" ht="33.75" x14ac:dyDescent="0.25">
      <c r="A36" s="85"/>
      <c r="B36" s="85"/>
      <c r="C36" s="620"/>
      <c r="D36" s="85"/>
      <c r="E36" s="621">
        <v>321.73081100000002</v>
      </c>
      <c r="F36" s="622" t="s">
        <v>846</v>
      </c>
      <c r="G36" s="63">
        <v>20000</v>
      </c>
      <c r="H36" s="63"/>
      <c r="I36" s="63">
        <f t="shared" si="1"/>
        <v>20000</v>
      </c>
      <c r="J36" s="623">
        <v>0</v>
      </c>
      <c r="K36" s="623">
        <v>1</v>
      </c>
      <c r="L36" s="623">
        <v>0</v>
      </c>
      <c r="M36" s="624">
        <f t="shared" si="6"/>
        <v>1</v>
      </c>
      <c r="N36" s="499">
        <f t="shared" si="8"/>
        <v>0</v>
      </c>
      <c r="O36" s="499">
        <f t="shared" si="9"/>
        <v>20000</v>
      </c>
      <c r="P36" s="499">
        <f t="shared" si="10"/>
        <v>0</v>
      </c>
      <c r="Q36" s="499">
        <f t="shared" si="7"/>
        <v>20000</v>
      </c>
    </row>
    <row r="37" spans="1:17" ht="22.5" x14ac:dyDescent="0.25">
      <c r="A37" s="85"/>
      <c r="B37" s="85"/>
      <c r="C37" s="620"/>
      <c r="D37" s="85"/>
      <c r="E37" s="621">
        <v>321.730819</v>
      </c>
      <c r="F37" s="622" t="s">
        <v>847</v>
      </c>
      <c r="G37" s="63">
        <v>3985</v>
      </c>
      <c r="H37" s="63">
        <v>-2111.4</v>
      </c>
      <c r="I37" s="63">
        <f t="shared" si="1"/>
        <v>1873.6</v>
      </c>
      <c r="J37" s="623">
        <v>1</v>
      </c>
      <c r="K37" s="623">
        <v>0</v>
      </c>
      <c r="L37" s="623">
        <v>0</v>
      </c>
      <c r="M37" s="624">
        <f t="shared" si="6"/>
        <v>1</v>
      </c>
      <c r="N37" s="499">
        <f t="shared" si="8"/>
        <v>3985</v>
      </c>
      <c r="O37" s="499">
        <f t="shared" si="9"/>
        <v>0</v>
      </c>
      <c r="P37" s="499">
        <f t="shared" si="10"/>
        <v>0</v>
      </c>
      <c r="Q37" s="499">
        <f t="shared" si="7"/>
        <v>3985</v>
      </c>
    </row>
    <row r="38" spans="1:17" ht="22.5" x14ac:dyDescent="0.25">
      <c r="A38" s="85"/>
      <c r="B38" s="85"/>
      <c r="C38" s="620"/>
      <c r="D38" s="85"/>
      <c r="E38" s="621" t="s">
        <v>848</v>
      </c>
      <c r="F38" s="622" t="s">
        <v>849</v>
      </c>
      <c r="G38" s="63">
        <v>8500</v>
      </c>
      <c r="H38" s="63">
        <v>2111.4</v>
      </c>
      <c r="I38" s="63">
        <f t="shared" si="1"/>
        <v>10611.4</v>
      </c>
      <c r="J38" s="623">
        <v>0</v>
      </c>
      <c r="K38" s="623">
        <v>1</v>
      </c>
      <c r="L38" s="623">
        <v>0</v>
      </c>
      <c r="M38" s="624">
        <f t="shared" si="6"/>
        <v>1</v>
      </c>
      <c r="N38" s="499">
        <f t="shared" si="8"/>
        <v>0</v>
      </c>
      <c r="O38" s="499">
        <f t="shared" si="9"/>
        <v>8500</v>
      </c>
      <c r="P38" s="499">
        <f t="shared" si="10"/>
        <v>0</v>
      </c>
      <c r="Q38" s="499">
        <f t="shared" si="7"/>
        <v>8500</v>
      </c>
    </row>
    <row r="39" spans="1:17" x14ac:dyDescent="0.25">
      <c r="A39" s="85"/>
      <c r="B39" s="85"/>
      <c r="C39" s="620"/>
      <c r="D39" s="85"/>
      <c r="E39" s="621">
        <v>321.840104</v>
      </c>
      <c r="F39" s="622" t="s">
        <v>699</v>
      </c>
      <c r="G39" s="63">
        <v>5000</v>
      </c>
      <c r="H39" s="63"/>
      <c r="I39" s="63">
        <f t="shared" si="1"/>
        <v>5000</v>
      </c>
      <c r="J39" s="623">
        <v>0</v>
      </c>
      <c r="K39" s="623">
        <v>1</v>
      </c>
      <c r="L39" s="623">
        <v>0</v>
      </c>
      <c r="M39" s="624">
        <f t="shared" si="6"/>
        <v>1</v>
      </c>
      <c r="N39" s="499">
        <f t="shared" si="8"/>
        <v>0</v>
      </c>
      <c r="O39" s="499">
        <f t="shared" si="9"/>
        <v>5000</v>
      </c>
      <c r="P39" s="499">
        <f t="shared" si="10"/>
        <v>0</v>
      </c>
      <c r="Q39" s="499">
        <f t="shared" si="7"/>
        <v>5000</v>
      </c>
    </row>
    <row r="40" spans="1:17" x14ac:dyDescent="0.25">
      <c r="A40" s="85"/>
      <c r="B40" s="85"/>
      <c r="C40" s="620"/>
      <c r="D40" s="85"/>
      <c r="E40" s="621">
        <v>321.84010499999999</v>
      </c>
      <c r="F40" s="622" t="s">
        <v>850</v>
      </c>
      <c r="G40" s="63">
        <v>7000</v>
      </c>
      <c r="H40" s="63"/>
      <c r="I40" s="63">
        <f t="shared" si="1"/>
        <v>7000</v>
      </c>
      <c r="J40" s="623">
        <v>1</v>
      </c>
      <c r="K40" s="623">
        <v>0</v>
      </c>
      <c r="L40" s="623">
        <v>0</v>
      </c>
      <c r="M40" s="624">
        <f t="shared" si="6"/>
        <v>1</v>
      </c>
      <c r="N40" s="499">
        <f t="shared" si="8"/>
        <v>7000</v>
      </c>
      <c r="O40" s="499">
        <f t="shared" si="9"/>
        <v>0</v>
      </c>
      <c r="P40" s="499">
        <f t="shared" si="10"/>
        <v>0</v>
      </c>
      <c r="Q40" s="499">
        <f t="shared" si="7"/>
        <v>7000</v>
      </c>
    </row>
    <row r="41" spans="1:17" x14ac:dyDescent="0.25">
      <c r="A41" s="85"/>
      <c r="B41" s="85"/>
      <c r="C41" s="71"/>
      <c r="D41" s="71"/>
      <c r="E41" s="625"/>
      <c r="F41" s="626"/>
      <c r="G41" s="627">
        <f>SUM(G9:G40)</f>
        <v>218486.41999999998</v>
      </c>
      <c r="H41" s="627"/>
      <c r="I41" s="627"/>
      <c r="J41" s="628"/>
      <c r="K41" s="628"/>
      <c r="L41" s="628"/>
      <c r="M41" s="628"/>
      <c r="N41" s="628"/>
      <c r="O41" s="628"/>
      <c r="P41" s="628"/>
      <c r="Q41" s="592"/>
    </row>
    <row r="42" spans="1:17" x14ac:dyDescent="0.25">
      <c r="A42" s="85"/>
      <c r="B42" s="85"/>
      <c r="C42" s="629" t="s">
        <v>851</v>
      </c>
      <c r="D42" s="85"/>
      <c r="E42" s="630">
        <v>321.73060500000003</v>
      </c>
      <c r="F42" s="631" t="s">
        <v>852</v>
      </c>
      <c r="G42" s="63">
        <v>5.1699999999982502</v>
      </c>
      <c r="H42" s="63"/>
      <c r="I42" s="63">
        <f t="shared" si="1"/>
        <v>5.1699999999982502</v>
      </c>
      <c r="J42" s="632"/>
      <c r="K42" s="632"/>
      <c r="L42" s="632"/>
      <c r="M42" s="632"/>
      <c r="N42" s="632"/>
      <c r="O42" s="632"/>
      <c r="P42" s="632"/>
      <c r="Q42" s="633"/>
    </row>
    <row r="43" spans="1:17" x14ac:dyDescent="0.25">
      <c r="A43" s="85"/>
      <c r="B43" s="85"/>
      <c r="C43" s="629"/>
      <c r="D43" s="85"/>
      <c r="E43" s="630">
        <v>321.84030100000001</v>
      </c>
      <c r="F43" s="631" t="s">
        <v>641</v>
      </c>
      <c r="G43" s="63">
        <v>5000</v>
      </c>
      <c r="H43" s="63"/>
      <c r="I43" s="63">
        <f t="shared" si="1"/>
        <v>5000</v>
      </c>
      <c r="J43" s="632"/>
      <c r="K43" s="632"/>
      <c r="L43" s="632"/>
      <c r="M43" s="632"/>
      <c r="N43" s="632"/>
      <c r="O43" s="632"/>
      <c r="P43" s="632"/>
      <c r="Q43" s="633"/>
    </row>
    <row r="44" spans="1:17" ht="22.5" x14ac:dyDescent="0.25">
      <c r="A44" s="85"/>
      <c r="B44" s="85"/>
      <c r="C44" s="629"/>
      <c r="D44" s="85"/>
      <c r="E44" s="634">
        <v>730204</v>
      </c>
      <c r="F44" s="631" t="s">
        <v>853</v>
      </c>
      <c r="G44" s="63">
        <v>1803</v>
      </c>
      <c r="H44" s="63"/>
      <c r="I44" s="63">
        <f t="shared" si="1"/>
        <v>1803</v>
      </c>
      <c r="J44" s="632"/>
      <c r="K44" s="632"/>
      <c r="L44" s="632"/>
      <c r="M44" s="632"/>
      <c r="N44" s="632"/>
      <c r="O44" s="632"/>
      <c r="P44" s="632"/>
      <c r="Q44" s="633"/>
    </row>
    <row r="45" spans="1:17" ht="22.5" x14ac:dyDescent="0.25">
      <c r="A45" s="85"/>
      <c r="B45" s="85"/>
      <c r="C45" s="629"/>
      <c r="D45" s="85"/>
      <c r="E45" s="634">
        <v>730207</v>
      </c>
      <c r="F45" s="631" t="s">
        <v>854</v>
      </c>
      <c r="G45" s="63">
        <v>2000</v>
      </c>
      <c r="H45" s="63"/>
      <c r="I45" s="63">
        <f t="shared" si="1"/>
        <v>2000</v>
      </c>
      <c r="J45" s="632"/>
      <c r="K45" s="632"/>
      <c r="L45" s="632"/>
      <c r="M45" s="632"/>
      <c r="N45" s="632"/>
      <c r="O45" s="632"/>
      <c r="P45" s="632"/>
      <c r="Q45" s="633"/>
    </row>
    <row r="46" spans="1:17" ht="22.5" x14ac:dyDescent="0.25">
      <c r="A46" s="85"/>
      <c r="B46" s="85"/>
      <c r="C46" s="629"/>
      <c r="D46" s="85"/>
      <c r="E46" s="634">
        <v>730604</v>
      </c>
      <c r="F46" s="631" t="s">
        <v>855</v>
      </c>
      <c r="G46" s="63">
        <v>175571.18</v>
      </c>
      <c r="H46" s="63"/>
      <c r="I46" s="63">
        <f t="shared" si="1"/>
        <v>175571.18</v>
      </c>
      <c r="J46" s="632"/>
      <c r="K46" s="632"/>
      <c r="L46" s="632"/>
      <c r="M46" s="632"/>
      <c r="N46" s="632"/>
      <c r="O46" s="632"/>
      <c r="P46" s="632"/>
      <c r="Q46" s="633"/>
    </row>
    <row r="47" spans="1:17" ht="22.5" x14ac:dyDescent="0.25">
      <c r="A47" s="85"/>
      <c r="B47" s="85"/>
      <c r="C47" s="629"/>
      <c r="D47" s="85"/>
      <c r="E47" s="634"/>
      <c r="F47" s="631" t="s">
        <v>856</v>
      </c>
      <c r="G47" s="63">
        <v>3066428.01</v>
      </c>
      <c r="H47" s="63"/>
      <c r="I47" s="63">
        <f t="shared" si="1"/>
        <v>3066428.01</v>
      </c>
      <c r="J47" s="632"/>
      <c r="K47" s="632"/>
      <c r="L47" s="632"/>
      <c r="M47" s="632"/>
      <c r="N47" s="632"/>
      <c r="O47" s="632"/>
      <c r="P47" s="632"/>
      <c r="Q47" s="633"/>
    </row>
    <row r="48" spans="1:17" ht="22.5" x14ac:dyDescent="0.25">
      <c r="A48" s="85"/>
      <c r="B48" s="85"/>
      <c r="C48" s="629"/>
      <c r="D48" s="85"/>
      <c r="E48" s="635" t="s">
        <v>857</v>
      </c>
      <c r="F48" s="631" t="s">
        <v>858</v>
      </c>
      <c r="G48" s="63">
        <f>$L$71</f>
        <v>1040634.35</v>
      </c>
      <c r="H48" s="63"/>
      <c r="I48" s="63">
        <f t="shared" si="1"/>
        <v>1040634.35</v>
      </c>
      <c r="J48" s="632"/>
      <c r="K48" s="632"/>
      <c r="L48" s="632"/>
      <c r="M48" s="632"/>
      <c r="N48" s="632"/>
      <c r="O48" s="632"/>
      <c r="P48" s="632"/>
      <c r="Q48" s="633"/>
    </row>
    <row r="49" spans="1:17" x14ac:dyDescent="0.25">
      <c r="A49" s="626"/>
      <c r="B49" s="626"/>
      <c r="C49" s="626"/>
      <c r="D49" s="626"/>
      <c r="E49" s="625"/>
      <c r="F49" s="626"/>
      <c r="G49" s="627">
        <f>SUM(G42:G48)</f>
        <v>4291441.71</v>
      </c>
      <c r="H49" s="627">
        <f>SUM(H9:H48)</f>
        <v>2000</v>
      </c>
      <c r="I49" s="627">
        <f>SUM(I9:I48)</f>
        <v>4511928.13</v>
      </c>
      <c r="J49" s="628"/>
      <c r="K49" s="628"/>
      <c r="L49" s="628"/>
      <c r="M49" s="628"/>
      <c r="N49" s="628"/>
      <c r="O49" s="628"/>
      <c r="P49" s="628"/>
      <c r="Q49" s="592"/>
    </row>
    <row r="50" spans="1:17" x14ac:dyDescent="0.25">
      <c r="A50" s="626"/>
      <c r="B50" s="626"/>
      <c r="C50" s="626"/>
      <c r="D50" s="626"/>
      <c r="E50" s="625"/>
      <c r="F50" s="626"/>
      <c r="G50" s="636"/>
      <c r="H50" s="636"/>
      <c r="I50" s="636"/>
      <c r="J50" s="628"/>
      <c r="K50" s="628"/>
      <c r="L50" s="628"/>
      <c r="M50" s="628"/>
      <c r="N50" s="628"/>
      <c r="O50" s="628"/>
      <c r="P50" s="628"/>
      <c r="Q50" s="592"/>
    </row>
    <row r="51" spans="1:17" x14ac:dyDescent="0.25">
      <c r="G51" s="637">
        <f>SUM(G49,G41)</f>
        <v>4509928.13</v>
      </c>
      <c r="H51" s="637">
        <f>+H49</f>
        <v>2000</v>
      </c>
      <c r="I51" s="637">
        <f>+G51+H51</f>
        <v>4511928.13</v>
      </c>
    </row>
    <row r="56" spans="1:17" hidden="1" x14ac:dyDescent="0.25"/>
    <row r="57" spans="1:17" hidden="1" x14ac:dyDescent="0.25"/>
    <row r="58" spans="1:17" hidden="1" x14ac:dyDescent="0.25">
      <c r="B58" s="638" t="s">
        <v>328</v>
      </c>
      <c r="C58" s="639"/>
      <c r="D58" s="639"/>
      <c r="E58" s="639"/>
      <c r="F58" s="639"/>
      <c r="G58" s="639"/>
      <c r="H58" s="639"/>
      <c r="I58" s="639"/>
      <c r="J58" s="639"/>
      <c r="K58" s="639"/>
      <c r="L58" s="640"/>
    </row>
    <row r="59" spans="1:17" hidden="1" x14ac:dyDescent="0.25">
      <c r="B59" s="641"/>
      <c r="C59" s="642"/>
      <c r="D59" s="642"/>
      <c r="E59" s="642"/>
      <c r="F59" s="642"/>
      <c r="G59" s="642"/>
      <c r="H59" s="642"/>
      <c r="I59" s="642"/>
      <c r="J59" s="642"/>
      <c r="K59" s="642"/>
      <c r="L59" s="643"/>
    </row>
    <row r="60" spans="1:17" ht="15.75" hidden="1" x14ac:dyDescent="0.25">
      <c r="D60" s="644"/>
      <c r="E60" s="644"/>
      <c r="F60" s="645">
        <v>2023</v>
      </c>
      <c r="G60" s="646"/>
      <c r="H60" s="647"/>
      <c r="I60" s="647"/>
      <c r="J60" s="644"/>
      <c r="K60" s="644"/>
      <c r="L60" s="648"/>
    </row>
    <row r="61" spans="1:17" ht="15.75" hidden="1" x14ac:dyDescent="0.25">
      <c r="D61" s="644"/>
      <c r="E61" s="644"/>
      <c r="F61" s="649"/>
      <c r="G61" s="644"/>
      <c r="H61" s="644"/>
      <c r="I61" s="644"/>
      <c r="J61" s="644"/>
      <c r="K61" s="644"/>
      <c r="L61" s="648"/>
    </row>
    <row r="62" spans="1:17" ht="15.75" hidden="1" x14ac:dyDescent="0.25">
      <c r="D62" s="644"/>
      <c r="E62" s="644"/>
      <c r="F62" s="649"/>
      <c r="G62" s="644"/>
      <c r="H62" s="644"/>
      <c r="I62" s="644"/>
      <c r="J62" s="644"/>
      <c r="K62" s="644" t="s">
        <v>859</v>
      </c>
      <c r="L62" s="648"/>
    </row>
    <row r="63" spans="1:17" ht="195" hidden="1" x14ac:dyDescent="0.25">
      <c r="D63" s="644"/>
      <c r="E63" s="644"/>
      <c r="F63" s="650" t="s">
        <v>860</v>
      </c>
      <c r="G63" s="644">
        <v>50000</v>
      </c>
      <c r="H63" s="644"/>
      <c r="I63" s="644"/>
      <c r="J63" s="644"/>
      <c r="K63" s="651" t="s">
        <v>861</v>
      </c>
      <c r="L63" s="652">
        <v>185383.66</v>
      </c>
    </row>
    <row r="64" spans="1:17" ht="210" hidden="1" x14ac:dyDescent="0.25">
      <c r="D64" s="644"/>
      <c r="E64" s="644"/>
      <c r="F64" s="650" t="s">
        <v>862</v>
      </c>
      <c r="G64" s="644">
        <v>50000</v>
      </c>
      <c r="H64" s="644"/>
      <c r="I64" s="644"/>
      <c r="J64" s="644"/>
      <c r="K64" s="651" t="s">
        <v>863</v>
      </c>
      <c r="L64" s="652">
        <v>228824.27</v>
      </c>
    </row>
    <row r="65" spans="4:12" ht="210" hidden="1" x14ac:dyDescent="0.25">
      <c r="D65" s="644"/>
      <c r="E65" s="644"/>
      <c r="F65" s="644"/>
      <c r="G65" s="644"/>
      <c r="H65" s="644"/>
      <c r="I65" s="644"/>
      <c r="J65" s="644"/>
      <c r="K65" s="651" t="s">
        <v>864</v>
      </c>
      <c r="L65" s="652">
        <v>257328.19</v>
      </c>
    </row>
    <row r="66" spans="4:12" ht="210" hidden="1" x14ac:dyDescent="0.25">
      <c r="D66" s="644"/>
      <c r="E66" s="644"/>
      <c r="F66" s="649"/>
      <c r="G66" s="644"/>
      <c r="H66" s="644"/>
      <c r="I66" s="644"/>
      <c r="J66" s="644"/>
      <c r="K66" s="651" t="s">
        <v>865</v>
      </c>
      <c r="L66" s="652">
        <v>189098.23</v>
      </c>
    </row>
    <row r="67" spans="4:12" ht="409.5" hidden="1" x14ac:dyDescent="0.25">
      <c r="D67" s="644"/>
      <c r="E67" s="644"/>
      <c r="F67" s="649"/>
      <c r="G67" s="644"/>
      <c r="H67" s="644"/>
      <c r="I67" s="644"/>
      <c r="J67" s="644"/>
      <c r="K67" s="651" t="s">
        <v>866</v>
      </c>
      <c r="L67" s="652">
        <v>30000</v>
      </c>
    </row>
    <row r="68" spans="4:12" ht="180" hidden="1" x14ac:dyDescent="0.25">
      <c r="D68" s="644"/>
      <c r="E68" s="644"/>
      <c r="F68" s="649"/>
      <c r="G68" s="644"/>
      <c r="H68" s="644"/>
      <c r="I68" s="644"/>
      <c r="J68" s="644"/>
      <c r="K68" s="651" t="s">
        <v>867</v>
      </c>
      <c r="L68" s="652">
        <v>50000</v>
      </c>
    </row>
    <row r="69" spans="4:12" ht="135" hidden="1" x14ac:dyDescent="0.25">
      <c r="D69" s="644"/>
      <c r="E69" s="644"/>
      <c r="F69" s="649"/>
      <c r="G69" s="644"/>
      <c r="H69" s="644"/>
      <c r="I69" s="644"/>
      <c r="J69" s="644"/>
      <c r="K69" s="651" t="s">
        <v>868</v>
      </c>
      <c r="L69" s="652">
        <v>50000</v>
      </c>
    </row>
    <row r="70" spans="4:12" ht="150" hidden="1" x14ac:dyDescent="0.25">
      <c r="D70" s="644"/>
      <c r="E70" s="644"/>
      <c r="F70" s="649"/>
      <c r="G70" s="644"/>
      <c r="H70" s="644"/>
      <c r="I70" s="644"/>
      <c r="J70" s="644"/>
      <c r="K70" s="651" t="s">
        <v>862</v>
      </c>
      <c r="L70" s="652">
        <v>50000</v>
      </c>
    </row>
    <row r="71" spans="4:12" ht="19.5" hidden="1" thickBot="1" x14ac:dyDescent="0.35">
      <c r="D71" s="653"/>
      <c r="E71" s="653"/>
      <c r="F71" s="654"/>
      <c r="G71" s="655">
        <f>SUM(G63:G70)</f>
        <v>100000</v>
      </c>
      <c r="H71" s="655"/>
      <c r="I71" s="655"/>
      <c r="J71" s="653"/>
      <c r="K71" s="653"/>
      <c r="L71" s="656">
        <f>SUM(L63:L70)</f>
        <v>1040634.35</v>
      </c>
    </row>
    <row r="72" spans="4:12" hidden="1" x14ac:dyDescent="0.25"/>
  </sheetData>
  <mergeCells count="30">
    <mergeCell ref="B58:L59"/>
    <mergeCell ref="F60:G60"/>
    <mergeCell ref="J7:M7"/>
    <mergeCell ref="N7:Q7"/>
    <mergeCell ref="A9:A48"/>
    <mergeCell ref="B9:B48"/>
    <mergeCell ref="C9:C16"/>
    <mergeCell ref="D9:D16"/>
    <mergeCell ref="C17:C40"/>
    <mergeCell ref="D17:D40"/>
    <mergeCell ref="C42:C48"/>
    <mergeCell ref="D42:D48"/>
    <mergeCell ref="A6:I6"/>
    <mergeCell ref="J6:Q6"/>
    <mergeCell ref="A7:A8"/>
    <mergeCell ref="B7:B8"/>
    <mergeCell ref="C7:C8"/>
    <mergeCell ref="D7:D8"/>
    <mergeCell ref="E7:E8"/>
    <mergeCell ref="F7:F8"/>
    <mergeCell ref="G7:G8"/>
    <mergeCell ref="H7:I7"/>
    <mergeCell ref="D1:F1"/>
    <mergeCell ref="J1:Q1"/>
    <mergeCell ref="A2:B3"/>
    <mergeCell ref="D2:Q2"/>
    <mergeCell ref="D3:Q3"/>
    <mergeCell ref="A4:B5"/>
    <mergeCell ref="D4:Q4"/>
    <mergeCell ref="D5:Q5"/>
  </mergeCells>
  <pageMargins left="0.7" right="0.7" top="0.75" bottom="0.75" header="0.3" footer="0.3"/>
  <pageSetup paperSize="9" scale="49"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1532-E71F-494C-9246-9F57105ECF05}">
  <sheetPr>
    <pageSetUpPr fitToPage="1"/>
  </sheetPr>
  <dimension ref="A2:V42"/>
  <sheetViews>
    <sheetView topLeftCell="A7" zoomScale="70" zoomScaleNormal="70" workbookViewId="0">
      <selection activeCell="H37" sqref="H37"/>
    </sheetView>
  </sheetViews>
  <sheetFormatPr baseColWidth="10" defaultRowHeight="15" x14ac:dyDescent="0.25"/>
  <cols>
    <col min="1" max="1" width="18.140625" customWidth="1"/>
    <col min="2" max="2" width="32.85546875" customWidth="1"/>
    <col min="3" max="5" width="25.5703125" customWidth="1"/>
    <col min="6" max="6" width="33.7109375" customWidth="1"/>
    <col min="7" max="7" width="25.5703125" customWidth="1"/>
    <col min="8" max="9" width="20.28515625" customWidth="1"/>
    <col min="10" max="10" width="10.5703125" customWidth="1"/>
    <col min="11" max="11" width="10.85546875" customWidth="1"/>
    <col min="12" max="12" width="9" customWidth="1"/>
    <col min="13" max="13" width="7.7109375" customWidth="1"/>
    <col min="14" max="14" width="7.28515625" customWidth="1"/>
    <col min="15" max="15" width="8.5703125" customWidth="1"/>
    <col min="16" max="16" width="9.5703125" customWidth="1"/>
    <col min="17" max="17" width="9.42578125" customWidth="1"/>
    <col min="18" max="18" width="13" customWidth="1"/>
    <col min="19" max="19" width="8.85546875" customWidth="1"/>
    <col min="20" max="20" width="12" customWidth="1"/>
    <col min="21" max="21" width="11.42578125" hidden="1" customWidth="1"/>
    <col min="22" max="22" width="1" hidden="1" customWidth="1"/>
    <col min="24" max="24" width="11.42578125" customWidth="1"/>
  </cols>
  <sheetData>
    <row r="2" spans="1:17" ht="49.5" customHeight="1" x14ac:dyDescent="0.25">
      <c r="B2" s="16"/>
      <c r="C2" s="16" t="s">
        <v>0</v>
      </c>
      <c r="D2" s="91" t="s">
        <v>869</v>
      </c>
      <c r="E2" s="91"/>
      <c r="F2" s="91"/>
      <c r="G2" s="16" t="s">
        <v>1</v>
      </c>
      <c r="H2" s="16"/>
      <c r="I2" s="16"/>
      <c r="J2" s="74" t="s">
        <v>820</v>
      </c>
      <c r="K2" s="74"/>
      <c r="L2" s="74"/>
      <c r="M2" s="74"/>
      <c r="N2" s="74"/>
      <c r="O2" s="74"/>
      <c r="P2" s="74"/>
      <c r="Q2" s="74"/>
    </row>
    <row r="3" spans="1:17" x14ac:dyDescent="0.25">
      <c r="A3" s="92" t="s">
        <v>91</v>
      </c>
      <c r="B3" s="92"/>
      <c r="C3" s="17" t="s">
        <v>6</v>
      </c>
      <c r="D3" s="85"/>
      <c r="E3" s="85"/>
      <c r="F3" s="85"/>
      <c r="G3" s="85"/>
      <c r="H3" s="85"/>
      <c r="I3" s="85"/>
      <c r="J3" s="85"/>
      <c r="K3" s="85"/>
      <c r="L3" s="85"/>
      <c r="M3" s="85"/>
      <c r="N3" s="85"/>
      <c r="O3" s="85"/>
      <c r="P3" s="85"/>
      <c r="Q3" s="85"/>
    </row>
    <row r="4" spans="1:17" x14ac:dyDescent="0.25">
      <c r="A4" s="92"/>
      <c r="B4" s="92"/>
      <c r="C4" s="17" t="s">
        <v>7</v>
      </c>
      <c r="D4" s="85"/>
      <c r="E4" s="85"/>
      <c r="F4" s="85"/>
      <c r="G4" s="85"/>
      <c r="H4" s="85"/>
      <c r="I4" s="85"/>
      <c r="J4" s="85"/>
      <c r="K4" s="85"/>
      <c r="L4" s="85"/>
      <c r="M4" s="85"/>
      <c r="N4" s="85"/>
      <c r="O4" s="85"/>
      <c r="P4" s="85"/>
      <c r="Q4" s="85"/>
    </row>
    <row r="5" spans="1:17" x14ac:dyDescent="0.25">
      <c r="A5" s="83" t="s">
        <v>92</v>
      </c>
      <c r="B5" s="83"/>
      <c r="C5" s="18" t="s">
        <v>8</v>
      </c>
      <c r="D5" s="180"/>
      <c r="E5" s="181"/>
      <c r="F5" s="181"/>
      <c r="G5" s="181"/>
      <c r="H5" s="181"/>
      <c r="I5" s="181"/>
      <c r="J5" s="181"/>
      <c r="K5" s="181"/>
      <c r="L5" s="181"/>
      <c r="M5" s="181"/>
      <c r="N5" s="181"/>
      <c r="O5" s="181"/>
      <c r="P5" s="181"/>
      <c r="Q5" s="182"/>
    </row>
    <row r="6" spans="1:17" x14ac:dyDescent="0.25">
      <c r="A6" s="83"/>
      <c r="B6" s="83"/>
      <c r="C6" s="18" t="s">
        <v>9</v>
      </c>
      <c r="D6" s="183"/>
      <c r="E6" s="184"/>
      <c r="F6" s="184"/>
      <c r="G6" s="184"/>
      <c r="H6" s="184"/>
      <c r="I6" s="184"/>
      <c r="J6" s="184"/>
      <c r="K6" s="184"/>
      <c r="L6" s="184"/>
      <c r="M6" s="184"/>
      <c r="N6" s="184"/>
      <c r="O6" s="184"/>
      <c r="P6" s="184"/>
      <c r="Q6" s="185"/>
    </row>
    <row r="7" spans="1:17" ht="15" customHeight="1" x14ac:dyDescent="0.25">
      <c r="A7" s="86" t="s">
        <v>2</v>
      </c>
      <c r="B7" s="87"/>
      <c r="C7" s="87"/>
      <c r="D7" s="87"/>
      <c r="E7" s="87"/>
      <c r="F7" s="87"/>
      <c r="G7" s="87"/>
      <c r="H7" s="87"/>
      <c r="I7" s="88"/>
      <c r="J7" s="89" t="s">
        <v>3</v>
      </c>
      <c r="K7" s="90"/>
      <c r="L7" s="90"/>
      <c r="M7" s="90"/>
      <c r="N7" s="90"/>
      <c r="O7" s="90"/>
      <c r="P7" s="90"/>
      <c r="Q7" s="79"/>
    </row>
    <row r="8" spans="1:17" x14ac:dyDescent="0.25">
      <c r="A8" s="140" t="s">
        <v>10</v>
      </c>
      <c r="B8" s="140" t="s">
        <v>11</v>
      </c>
      <c r="C8" s="140" t="s">
        <v>12</v>
      </c>
      <c r="D8" s="140" t="s">
        <v>94</v>
      </c>
      <c r="E8" s="141" t="s">
        <v>13</v>
      </c>
      <c r="F8" s="140" t="s">
        <v>14</v>
      </c>
      <c r="G8" s="142" t="s">
        <v>95</v>
      </c>
      <c r="H8" s="466" t="s">
        <v>121</v>
      </c>
      <c r="I8" s="467"/>
      <c r="J8" s="79" t="s">
        <v>4</v>
      </c>
      <c r="K8" s="80"/>
      <c r="L8" s="80"/>
      <c r="M8" s="80"/>
      <c r="N8" s="80" t="s">
        <v>5</v>
      </c>
      <c r="O8" s="80"/>
      <c r="P8" s="80"/>
      <c r="Q8" s="80"/>
    </row>
    <row r="9" spans="1:17" x14ac:dyDescent="0.25">
      <c r="A9" s="143"/>
      <c r="B9" s="143"/>
      <c r="C9" s="143"/>
      <c r="D9" s="143"/>
      <c r="E9" s="144"/>
      <c r="F9" s="143"/>
      <c r="G9" s="145"/>
      <c r="H9" s="468" t="s">
        <v>122</v>
      </c>
      <c r="I9" s="468" t="s">
        <v>118</v>
      </c>
      <c r="J9" s="25" t="s">
        <v>15</v>
      </c>
      <c r="K9" s="25" t="s">
        <v>16</v>
      </c>
      <c r="L9" s="25" t="s">
        <v>17</v>
      </c>
      <c r="M9" s="25" t="s">
        <v>18</v>
      </c>
      <c r="N9" s="25" t="s">
        <v>15</v>
      </c>
      <c r="O9" s="25" t="s">
        <v>16</v>
      </c>
      <c r="P9" s="25" t="s">
        <v>17</v>
      </c>
      <c r="Q9" s="26" t="s">
        <v>18</v>
      </c>
    </row>
    <row r="10" spans="1:17" x14ac:dyDescent="0.25">
      <c r="A10" s="657"/>
      <c r="B10" s="657"/>
      <c r="C10" s="658" t="s">
        <v>229</v>
      </c>
      <c r="E10" s="659">
        <v>322.710105</v>
      </c>
      <c r="F10" s="660" t="s">
        <v>822</v>
      </c>
      <c r="G10" s="661">
        <v>5340</v>
      </c>
      <c r="H10" s="661"/>
      <c r="I10" s="661"/>
      <c r="J10" s="662">
        <v>1</v>
      </c>
      <c r="K10" s="662">
        <v>0</v>
      </c>
      <c r="L10" s="662">
        <v>0</v>
      </c>
      <c r="M10" s="663">
        <f t="shared" ref="M10:M24" si="0">SUM(J10:L10)</f>
        <v>1</v>
      </c>
      <c r="N10" s="522">
        <f>+G10*J10</f>
        <v>5340</v>
      </c>
      <c r="O10" s="522">
        <f>+G10*K10</f>
        <v>0</v>
      </c>
      <c r="P10" s="522">
        <f>+G10*L10</f>
        <v>0</v>
      </c>
      <c r="Q10" s="522">
        <f t="shared" ref="Q10:Q24" si="1">SUM(N10:P10)</f>
        <v>5340</v>
      </c>
    </row>
    <row r="11" spans="1:17" x14ac:dyDescent="0.25">
      <c r="A11" s="664"/>
      <c r="B11" s="664"/>
      <c r="C11" s="658"/>
      <c r="E11" s="659">
        <v>322.71020299999998</v>
      </c>
      <c r="F11" s="660" t="s">
        <v>823</v>
      </c>
      <c r="G11" s="661">
        <v>445</v>
      </c>
      <c r="H11" s="661"/>
      <c r="I11" s="661"/>
      <c r="J11" s="662">
        <v>0.35</v>
      </c>
      <c r="K11" s="662">
        <v>0.35</v>
      </c>
      <c r="L11" s="662">
        <v>0.3</v>
      </c>
      <c r="M11" s="663">
        <f t="shared" si="0"/>
        <v>1</v>
      </c>
      <c r="N11" s="522">
        <f t="shared" ref="N11:N24" si="2">+G11*J11</f>
        <v>155.75</v>
      </c>
      <c r="O11" s="522">
        <f t="shared" ref="O11:O24" si="3">+G11*K11</f>
        <v>155.75</v>
      </c>
      <c r="P11" s="522">
        <f t="shared" ref="P11:P24" si="4">+G11*L11</f>
        <v>133.5</v>
      </c>
      <c r="Q11" s="522">
        <f t="shared" si="1"/>
        <v>445</v>
      </c>
    </row>
    <row r="12" spans="1:17" x14ac:dyDescent="0.25">
      <c r="A12" s="664"/>
      <c r="B12" s="664"/>
      <c r="C12" s="658"/>
      <c r="E12" s="659">
        <v>322.71020399999998</v>
      </c>
      <c r="F12" s="660" t="s">
        <v>824</v>
      </c>
      <c r="G12" s="661">
        <v>425</v>
      </c>
      <c r="H12" s="661"/>
      <c r="I12" s="661"/>
      <c r="J12" s="662">
        <v>0.35</v>
      </c>
      <c r="K12" s="662">
        <v>0.35</v>
      </c>
      <c r="L12" s="662">
        <v>0.3</v>
      </c>
      <c r="M12" s="663">
        <f t="shared" si="0"/>
        <v>1</v>
      </c>
      <c r="N12" s="522">
        <f t="shared" si="2"/>
        <v>148.75</v>
      </c>
      <c r="O12" s="522">
        <f t="shared" si="3"/>
        <v>148.75</v>
      </c>
      <c r="P12" s="522">
        <f t="shared" si="4"/>
        <v>127.5</v>
      </c>
      <c r="Q12" s="522">
        <f t="shared" si="1"/>
        <v>425</v>
      </c>
    </row>
    <row r="13" spans="1:17" x14ac:dyDescent="0.25">
      <c r="A13" s="664"/>
      <c r="B13" s="664"/>
      <c r="C13" s="658"/>
      <c r="E13" s="659">
        <v>322.710601</v>
      </c>
      <c r="F13" s="660" t="s">
        <v>825</v>
      </c>
      <c r="G13" s="661">
        <v>622.11</v>
      </c>
      <c r="H13" s="661"/>
      <c r="I13" s="661"/>
      <c r="J13" s="662">
        <v>0.35</v>
      </c>
      <c r="K13" s="662">
        <v>0.35</v>
      </c>
      <c r="L13" s="662">
        <v>0.3</v>
      </c>
      <c r="M13" s="663">
        <f t="shared" si="0"/>
        <v>1</v>
      </c>
      <c r="N13" s="522">
        <f t="shared" si="2"/>
        <v>217.73849999999999</v>
      </c>
      <c r="O13" s="522">
        <f t="shared" si="3"/>
        <v>217.73849999999999</v>
      </c>
      <c r="P13" s="522">
        <f t="shared" si="4"/>
        <v>186.63300000000001</v>
      </c>
      <c r="Q13" s="522">
        <f t="shared" si="1"/>
        <v>622.11</v>
      </c>
    </row>
    <row r="14" spans="1:17" x14ac:dyDescent="0.25">
      <c r="A14" s="664"/>
      <c r="B14" s="664"/>
      <c r="C14" s="658"/>
      <c r="E14" s="659">
        <v>322.71060199999999</v>
      </c>
      <c r="F14" s="660" t="s">
        <v>826</v>
      </c>
      <c r="G14" s="661">
        <v>445</v>
      </c>
      <c r="H14" s="661"/>
      <c r="I14" s="661"/>
      <c r="J14" s="662">
        <v>0.35</v>
      </c>
      <c r="K14" s="662">
        <v>0.35</v>
      </c>
      <c r="L14" s="662">
        <v>0.3</v>
      </c>
      <c r="M14" s="663">
        <f t="shared" si="0"/>
        <v>1</v>
      </c>
      <c r="N14" s="522">
        <f t="shared" si="2"/>
        <v>155.75</v>
      </c>
      <c r="O14" s="522">
        <f t="shared" si="3"/>
        <v>155.75</v>
      </c>
      <c r="P14" s="522">
        <f t="shared" si="4"/>
        <v>133.5</v>
      </c>
      <c r="Q14" s="522">
        <f t="shared" si="1"/>
        <v>445</v>
      </c>
    </row>
    <row r="15" spans="1:17" ht="19.5" customHeight="1" x14ac:dyDescent="0.25">
      <c r="A15" s="664"/>
      <c r="B15" s="664"/>
      <c r="C15" s="665"/>
      <c r="E15" s="659">
        <v>322.71070700000001</v>
      </c>
      <c r="F15" s="660" t="s">
        <v>828</v>
      </c>
      <c r="G15" s="661">
        <v>500</v>
      </c>
      <c r="H15" s="661"/>
      <c r="I15" s="661"/>
      <c r="J15" s="662">
        <v>0.35</v>
      </c>
      <c r="K15" s="662">
        <v>0.35</v>
      </c>
      <c r="L15" s="662">
        <v>0.3</v>
      </c>
      <c r="M15" s="663">
        <f t="shared" si="0"/>
        <v>1</v>
      </c>
      <c r="N15" s="522">
        <f t="shared" si="2"/>
        <v>175</v>
      </c>
      <c r="O15" s="522">
        <f t="shared" si="3"/>
        <v>175</v>
      </c>
      <c r="P15" s="522">
        <f t="shared" si="4"/>
        <v>150</v>
      </c>
      <c r="Q15" s="522">
        <f t="shared" si="1"/>
        <v>500</v>
      </c>
    </row>
    <row r="16" spans="1:17" ht="19.5" customHeight="1" x14ac:dyDescent="0.25">
      <c r="A16" s="664"/>
      <c r="B16" s="664"/>
      <c r="C16" s="666" t="s">
        <v>829</v>
      </c>
      <c r="E16" s="667">
        <v>322.710106</v>
      </c>
      <c r="F16" s="668" t="s">
        <v>832</v>
      </c>
      <c r="G16" s="669">
        <v>30936</v>
      </c>
      <c r="H16" s="669"/>
      <c r="I16" s="669"/>
      <c r="J16" s="670">
        <v>0.35</v>
      </c>
      <c r="K16" s="670">
        <v>0.35</v>
      </c>
      <c r="L16" s="670">
        <v>0.3</v>
      </c>
      <c r="M16" s="671">
        <f t="shared" si="0"/>
        <v>1</v>
      </c>
      <c r="N16" s="672">
        <f t="shared" si="2"/>
        <v>10827.599999999999</v>
      </c>
      <c r="O16" s="672">
        <f t="shared" si="3"/>
        <v>10827.599999999999</v>
      </c>
      <c r="P16" s="672">
        <f t="shared" si="4"/>
        <v>9280.7999999999993</v>
      </c>
      <c r="Q16" s="672">
        <f t="shared" si="1"/>
        <v>30935.999999999996</v>
      </c>
    </row>
    <row r="17" spans="1:17" ht="19.5" customHeight="1" x14ac:dyDescent="0.25">
      <c r="A17" s="664"/>
      <c r="B17" s="664"/>
      <c r="C17" s="673"/>
      <c r="E17" s="667">
        <v>322.71020299999998</v>
      </c>
      <c r="F17" s="668" t="s">
        <v>823</v>
      </c>
      <c r="G17" s="669">
        <f>2550+28</f>
        <v>2578</v>
      </c>
      <c r="H17" s="669"/>
      <c r="I17" s="669"/>
      <c r="J17" s="670">
        <v>0.35</v>
      </c>
      <c r="K17" s="670">
        <v>0.35</v>
      </c>
      <c r="L17" s="670">
        <v>0.3</v>
      </c>
      <c r="M17" s="671">
        <f t="shared" si="0"/>
        <v>1</v>
      </c>
      <c r="N17" s="672">
        <f t="shared" si="2"/>
        <v>902.3</v>
      </c>
      <c r="O17" s="672">
        <f t="shared" si="3"/>
        <v>902.3</v>
      </c>
      <c r="P17" s="672">
        <f t="shared" si="4"/>
        <v>773.4</v>
      </c>
      <c r="Q17" s="672">
        <f t="shared" si="1"/>
        <v>2578</v>
      </c>
    </row>
    <row r="18" spans="1:17" ht="19.5" customHeight="1" x14ac:dyDescent="0.25">
      <c r="A18" s="664"/>
      <c r="B18" s="664"/>
      <c r="C18" s="673"/>
      <c r="E18" s="667">
        <v>322.71020399999998</v>
      </c>
      <c r="F18" s="668" t="s">
        <v>824</v>
      </c>
      <c r="G18" s="669">
        <v>2550</v>
      </c>
      <c r="H18" s="669"/>
      <c r="I18" s="669"/>
      <c r="J18" s="670">
        <v>0.35</v>
      </c>
      <c r="K18" s="670">
        <v>0.35</v>
      </c>
      <c r="L18" s="670">
        <v>0.3</v>
      </c>
      <c r="M18" s="671">
        <f t="shared" si="0"/>
        <v>1</v>
      </c>
      <c r="N18" s="672">
        <f t="shared" si="2"/>
        <v>892.5</v>
      </c>
      <c r="O18" s="672">
        <f t="shared" si="3"/>
        <v>892.5</v>
      </c>
      <c r="P18" s="672">
        <f t="shared" si="4"/>
        <v>765</v>
      </c>
      <c r="Q18" s="672">
        <f t="shared" si="1"/>
        <v>2550</v>
      </c>
    </row>
    <row r="19" spans="1:17" ht="19.5" customHeight="1" x14ac:dyDescent="0.25">
      <c r="A19" s="664"/>
      <c r="B19" s="664"/>
      <c r="C19" s="673"/>
      <c r="E19" s="667">
        <v>322.710601</v>
      </c>
      <c r="F19" s="668" t="s">
        <v>825</v>
      </c>
      <c r="G19" s="669">
        <f>3825+42</f>
        <v>3867</v>
      </c>
      <c r="H19" s="669"/>
      <c r="I19" s="669"/>
      <c r="J19" s="670">
        <v>0.35</v>
      </c>
      <c r="K19" s="670">
        <v>0.35</v>
      </c>
      <c r="L19" s="670">
        <v>0.3</v>
      </c>
      <c r="M19" s="671">
        <f t="shared" si="0"/>
        <v>1</v>
      </c>
      <c r="N19" s="672">
        <f t="shared" si="2"/>
        <v>1353.4499999999998</v>
      </c>
      <c r="O19" s="672">
        <f t="shared" si="3"/>
        <v>1353.4499999999998</v>
      </c>
      <c r="P19" s="672">
        <f t="shared" si="4"/>
        <v>1160.0999999999999</v>
      </c>
      <c r="Q19" s="672">
        <f t="shared" si="1"/>
        <v>3866.9999999999995</v>
      </c>
    </row>
    <row r="20" spans="1:17" ht="19.5" customHeight="1" x14ac:dyDescent="0.25">
      <c r="A20" s="664"/>
      <c r="B20" s="664"/>
      <c r="C20" s="673"/>
      <c r="E20" s="667">
        <v>322.71060199999999</v>
      </c>
      <c r="F20" s="668" t="s">
        <v>826</v>
      </c>
      <c r="G20" s="669">
        <v>2578</v>
      </c>
      <c r="H20" s="669"/>
      <c r="I20" s="669"/>
      <c r="J20" s="670">
        <v>0.35</v>
      </c>
      <c r="K20" s="670">
        <v>0.35</v>
      </c>
      <c r="L20" s="670">
        <v>0.3</v>
      </c>
      <c r="M20" s="671">
        <f t="shared" si="0"/>
        <v>1</v>
      </c>
      <c r="N20" s="672">
        <f t="shared" si="2"/>
        <v>902.3</v>
      </c>
      <c r="O20" s="672">
        <f t="shared" si="3"/>
        <v>902.3</v>
      </c>
      <c r="P20" s="672">
        <f t="shared" si="4"/>
        <v>773.4</v>
      </c>
      <c r="Q20" s="672">
        <f t="shared" si="1"/>
        <v>2578</v>
      </c>
    </row>
    <row r="21" spans="1:17" ht="19.5" customHeight="1" x14ac:dyDescent="0.25">
      <c r="A21" s="664"/>
      <c r="B21" s="664"/>
      <c r="C21" s="673"/>
      <c r="E21" s="667">
        <v>322.71030400000001</v>
      </c>
      <c r="F21" s="668" t="s">
        <v>833</v>
      </c>
      <c r="G21" s="669">
        <v>748</v>
      </c>
      <c r="H21" s="669"/>
      <c r="I21" s="669"/>
      <c r="J21" s="670">
        <v>0.35</v>
      </c>
      <c r="K21" s="670">
        <v>0.35</v>
      </c>
      <c r="L21" s="670">
        <v>0.3</v>
      </c>
      <c r="M21" s="671">
        <f t="shared" si="0"/>
        <v>1</v>
      </c>
      <c r="N21" s="672">
        <f t="shared" si="2"/>
        <v>261.8</v>
      </c>
      <c r="O21" s="672">
        <f t="shared" si="3"/>
        <v>261.8</v>
      </c>
      <c r="P21" s="672">
        <f t="shared" si="4"/>
        <v>224.4</v>
      </c>
      <c r="Q21" s="672">
        <f t="shared" si="1"/>
        <v>748</v>
      </c>
    </row>
    <row r="22" spans="1:17" ht="19.5" customHeight="1" x14ac:dyDescent="0.25">
      <c r="A22" s="664"/>
      <c r="B22" s="664"/>
      <c r="C22" s="673"/>
      <c r="E22" s="667">
        <v>322.710306</v>
      </c>
      <c r="F22" s="668" t="s">
        <v>834</v>
      </c>
      <c r="G22" s="669">
        <v>4488</v>
      </c>
      <c r="H22" s="669"/>
      <c r="I22" s="669"/>
      <c r="J22" s="670">
        <v>0.35</v>
      </c>
      <c r="K22" s="670">
        <v>0.35</v>
      </c>
      <c r="L22" s="670">
        <v>0.3</v>
      </c>
      <c r="M22" s="671">
        <f t="shared" si="0"/>
        <v>1</v>
      </c>
      <c r="N22" s="672">
        <f t="shared" si="2"/>
        <v>1570.8</v>
      </c>
      <c r="O22" s="672">
        <f t="shared" si="3"/>
        <v>1570.8</v>
      </c>
      <c r="P22" s="672">
        <f t="shared" si="4"/>
        <v>1346.3999999999999</v>
      </c>
      <c r="Q22" s="672">
        <f t="shared" si="1"/>
        <v>4488</v>
      </c>
    </row>
    <row r="23" spans="1:17" ht="19.5" customHeight="1" x14ac:dyDescent="0.25">
      <c r="A23" s="664"/>
      <c r="B23" s="664"/>
      <c r="C23" s="673"/>
      <c r="E23" s="667">
        <v>322.71040099999999</v>
      </c>
      <c r="F23" s="668" t="s">
        <v>835</v>
      </c>
      <c r="G23" s="669">
        <v>576</v>
      </c>
      <c r="H23" s="669"/>
      <c r="I23" s="669"/>
      <c r="J23" s="670">
        <v>0.35</v>
      </c>
      <c r="K23" s="670">
        <v>0.35</v>
      </c>
      <c r="L23" s="670">
        <v>0.3</v>
      </c>
      <c r="M23" s="671">
        <f t="shared" si="0"/>
        <v>1</v>
      </c>
      <c r="N23" s="672">
        <f t="shared" si="2"/>
        <v>201.6</v>
      </c>
      <c r="O23" s="672">
        <f t="shared" si="3"/>
        <v>201.6</v>
      </c>
      <c r="P23" s="672">
        <f t="shared" si="4"/>
        <v>172.79999999999998</v>
      </c>
      <c r="Q23" s="672">
        <f t="shared" si="1"/>
        <v>576</v>
      </c>
    </row>
    <row r="24" spans="1:17" ht="19.5" customHeight="1" x14ac:dyDescent="0.25">
      <c r="A24" s="664"/>
      <c r="B24" s="664"/>
      <c r="C24" s="673"/>
      <c r="E24" s="667">
        <v>322.71040199999999</v>
      </c>
      <c r="F24" s="668" t="s">
        <v>836</v>
      </c>
      <c r="G24" s="669">
        <v>40.44</v>
      </c>
      <c r="H24" s="669"/>
      <c r="I24" s="669"/>
      <c r="J24" s="670">
        <v>0.35</v>
      </c>
      <c r="K24" s="670">
        <v>0.35</v>
      </c>
      <c r="L24" s="670">
        <v>0.3</v>
      </c>
      <c r="M24" s="671">
        <f t="shared" si="0"/>
        <v>1</v>
      </c>
      <c r="N24" s="672">
        <f t="shared" si="2"/>
        <v>14.153999999999998</v>
      </c>
      <c r="O24" s="672">
        <f t="shared" si="3"/>
        <v>14.153999999999998</v>
      </c>
      <c r="P24" s="672">
        <f t="shared" si="4"/>
        <v>12.132</v>
      </c>
      <c r="Q24" s="672">
        <f t="shared" si="1"/>
        <v>40.44</v>
      </c>
    </row>
    <row r="25" spans="1:17" ht="19.5" customHeight="1" x14ac:dyDescent="0.25">
      <c r="A25" s="664"/>
      <c r="B25" s="664"/>
      <c r="C25" s="673"/>
      <c r="E25" s="667">
        <v>322.73080199999998</v>
      </c>
      <c r="F25" s="668" t="s">
        <v>843</v>
      </c>
      <c r="G25" s="674">
        <v>3750</v>
      </c>
      <c r="H25" s="674"/>
      <c r="I25" s="674"/>
      <c r="J25" s="670">
        <v>1</v>
      </c>
      <c r="K25" s="670">
        <v>0</v>
      </c>
      <c r="L25" s="670">
        <v>0</v>
      </c>
      <c r="M25" s="671">
        <f>SUM(J25:L25)</f>
        <v>1</v>
      </c>
      <c r="N25" s="672">
        <f>+[4]agua!G33*J25</f>
        <v>3750</v>
      </c>
      <c r="O25" s="672">
        <f>+[4]agua!G33*K25</f>
        <v>0</v>
      </c>
      <c r="P25" s="672">
        <f>+[4]agua!G33*L25</f>
        <v>0</v>
      </c>
      <c r="Q25" s="672">
        <f>SUM(N25:P25)</f>
        <v>3750</v>
      </c>
    </row>
    <row r="26" spans="1:17" ht="19.5" customHeight="1" x14ac:dyDescent="0.25">
      <c r="A26" s="664"/>
      <c r="B26" s="664"/>
      <c r="C26" s="673"/>
      <c r="E26" s="667">
        <v>322.73060900000002</v>
      </c>
      <c r="F26" s="668" t="s">
        <v>870</v>
      </c>
      <c r="G26" s="669">
        <v>6500</v>
      </c>
      <c r="H26" s="669"/>
      <c r="I26" s="669"/>
      <c r="J26" s="670">
        <v>0</v>
      </c>
      <c r="K26" s="670">
        <v>0</v>
      </c>
      <c r="L26" s="670">
        <v>1</v>
      </c>
      <c r="M26" s="671">
        <f>SUM(J26:L26)</f>
        <v>1</v>
      </c>
      <c r="N26" s="672">
        <f>+G26*J26</f>
        <v>0</v>
      </c>
      <c r="O26" s="672">
        <f>+G26*K26</f>
        <v>0</v>
      </c>
      <c r="P26" s="672">
        <f>+G26*L26</f>
        <v>6500</v>
      </c>
      <c r="Q26" s="672">
        <f>SUM(N26:P26)</f>
        <v>6500</v>
      </c>
    </row>
    <row r="27" spans="1:17" ht="19.5" customHeight="1" x14ac:dyDescent="0.25">
      <c r="A27" s="664"/>
      <c r="B27" s="664"/>
      <c r="C27" s="673"/>
      <c r="E27" s="667">
        <v>730609.00100000005</v>
      </c>
      <c r="F27" s="668" t="s">
        <v>871</v>
      </c>
      <c r="G27" s="669">
        <v>4800</v>
      </c>
      <c r="H27" s="669"/>
      <c r="I27" s="669"/>
      <c r="J27" s="670"/>
      <c r="K27" s="670"/>
      <c r="L27" s="670"/>
      <c r="M27" s="671"/>
      <c r="N27" s="672"/>
      <c r="O27" s="672"/>
      <c r="P27" s="672"/>
      <c r="Q27" s="672"/>
    </row>
    <row r="28" spans="1:17" ht="19.5" customHeight="1" x14ac:dyDescent="0.25">
      <c r="A28" s="664"/>
      <c r="B28" s="664"/>
      <c r="C28" s="673"/>
      <c r="E28" s="667">
        <v>322.73040400000002</v>
      </c>
      <c r="F28" s="668" t="s">
        <v>839</v>
      </c>
      <c r="G28" s="669">
        <v>500</v>
      </c>
      <c r="H28" s="669"/>
      <c r="I28" s="669"/>
      <c r="J28" s="670">
        <v>1</v>
      </c>
      <c r="K28" s="670">
        <v>0</v>
      </c>
      <c r="L28" s="670">
        <v>0</v>
      </c>
      <c r="M28" s="671">
        <f t="shared" ref="M28:M41" si="5">SUM(J28:L28)</f>
        <v>1</v>
      </c>
      <c r="N28" s="672">
        <f t="shared" ref="N28:N41" si="6">+G28*J28</f>
        <v>500</v>
      </c>
      <c r="O28" s="672">
        <f t="shared" ref="O28:O41" si="7">+G28*K28</f>
        <v>0</v>
      </c>
      <c r="P28" s="672">
        <f t="shared" ref="P28:P41" si="8">+G28*L28</f>
        <v>0</v>
      </c>
      <c r="Q28" s="672">
        <f t="shared" ref="Q28:Q41" si="9">SUM(N28:P28)</f>
        <v>500</v>
      </c>
    </row>
    <row r="29" spans="1:17" ht="19.5" customHeight="1" x14ac:dyDescent="0.25">
      <c r="A29" s="664"/>
      <c r="B29" s="664"/>
      <c r="C29" s="673"/>
      <c r="E29" s="667">
        <v>322.73061200000001</v>
      </c>
      <c r="F29" s="668" t="s">
        <v>872</v>
      </c>
      <c r="G29" s="669">
        <v>1000</v>
      </c>
      <c r="H29" s="669"/>
      <c r="I29" s="669"/>
      <c r="J29" s="670">
        <v>0</v>
      </c>
      <c r="K29" s="670">
        <v>1</v>
      </c>
      <c r="L29" s="670">
        <v>0</v>
      </c>
      <c r="M29" s="671">
        <f t="shared" si="5"/>
        <v>1</v>
      </c>
      <c r="N29" s="672">
        <f t="shared" si="6"/>
        <v>0</v>
      </c>
      <c r="O29" s="672">
        <f t="shared" si="7"/>
        <v>1000</v>
      </c>
      <c r="P29" s="672">
        <f t="shared" si="8"/>
        <v>0</v>
      </c>
      <c r="Q29" s="672">
        <f t="shared" si="9"/>
        <v>1000</v>
      </c>
    </row>
    <row r="30" spans="1:17" ht="19.5" customHeight="1" x14ac:dyDescent="0.25">
      <c r="A30" s="664"/>
      <c r="B30" s="664"/>
      <c r="C30" s="673"/>
      <c r="E30" s="667">
        <v>322.710509</v>
      </c>
      <c r="F30" s="668" t="s">
        <v>830</v>
      </c>
      <c r="G30" s="669">
        <v>500</v>
      </c>
      <c r="H30" s="669"/>
      <c r="I30" s="669"/>
      <c r="J30" s="670">
        <v>0.35</v>
      </c>
      <c r="K30" s="670">
        <v>0.35</v>
      </c>
      <c r="L30" s="670">
        <v>0.3</v>
      </c>
      <c r="M30" s="671">
        <f t="shared" si="5"/>
        <v>1</v>
      </c>
      <c r="N30" s="672">
        <f t="shared" si="6"/>
        <v>175</v>
      </c>
      <c r="O30" s="672">
        <f t="shared" si="7"/>
        <v>175</v>
      </c>
      <c r="P30" s="672">
        <f t="shared" si="8"/>
        <v>150</v>
      </c>
      <c r="Q30" s="672">
        <f t="shared" si="9"/>
        <v>500</v>
      </c>
    </row>
    <row r="31" spans="1:17" ht="19.5" customHeight="1" x14ac:dyDescent="0.25">
      <c r="A31" s="664"/>
      <c r="B31" s="664"/>
      <c r="C31" s="673"/>
      <c r="E31" s="667">
        <v>322.73080499999998</v>
      </c>
      <c r="F31" s="668" t="s">
        <v>844</v>
      </c>
      <c r="G31" s="669">
        <v>300</v>
      </c>
      <c r="H31" s="669"/>
      <c r="I31" s="669"/>
      <c r="J31" s="670">
        <v>0.3</v>
      </c>
      <c r="K31" s="670">
        <v>0.4</v>
      </c>
      <c r="L31" s="670">
        <v>0.3</v>
      </c>
      <c r="M31" s="671">
        <f t="shared" si="5"/>
        <v>1</v>
      </c>
      <c r="N31" s="672">
        <f t="shared" si="6"/>
        <v>90</v>
      </c>
      <c r="O31" s="672">
        <f t="shared" si="7"/>
        <v>120</v>
      </c>
      <c r="P31" s="672">
        <f t="shared" si="8"/>
        <v>90</v>
      </c>
      <c r="Q31" s="672">
        <f t="shared" si="9"/>
        <v>300</v>
      </c>
    </row>
    <row r="32" spans="1:17" ht="19.5" customHeight="1" x14ac:dyDescent="0.25">
      <c r="A32" s="664"/>
      <c r="B32" s="664"/>
      <c r="C32" s="673"/>
      <c r="E32" s="667">
        <v>322.73140599999999</v>
      </c>
      <c r="F32" s="668" t="s">
        <v>845</v>
      </c>
      <c r="G32" s="669">
        <v>400</v>
      </c>
      <c r="H32" s="669"/>
      <c r="I32" s="669"/>
      <c r="J32" s="670">
        <v>1</v>
      </c>
      <c r="K32" s="670">
        <v>0</v>
      </c>
      <c r="L32" s="670">
        <v>0</v>
      </c>
      <c r="M32" s="671">
        <f t="shared" si="5"/>
        <v>1</v>
      </c>
      <c r="N32" s="672">
        <f t="shared" si="6"/>
        <v>400</v>
      </c>
      <c r="O32" s="672">
        <f t="shared" si="7"/>
        <v>0</v>
      </c>
      <c r="P32" s="672">
        <f t="shared" si="8"/>
        <v>0</v>
      </c>
      <c r="Q32" s="672">
        <f t="shared" si="9"/>
        <v>400</v>
      </c>
    </row>
    <row r="33" spans="1:22" ht="19.5" customHeight="1" x14ac:dyDescent="0.25">
      <c r="A33" s="664"/>
      <c r="B33" s="664"/>
      <c r="C33" s="673"/>
      <c r="E33" s="667">
        <v>322.73081100000002</v>
      </c>
      <c r="F33" s="668" t="s">
        <v>846</v>
      </c>
      <c r="G33" s="669">
        <v>20160</v>
      </c>
      <c r="H33" s="669"/>
      <c r="I33" s="669"/>
      <c r="J33" s="670">
        <v>0</v>
      </c>
      <c r="K33" s="670">
        <v>1</v>
      </c>
      <c r="L33" s="670">
        <v>0</v>
      </c>
      <c r="M33" s="671">
        <f t="shared" si="5"/>
        <v>1</v>
      </c>
      <c r="N33" s="672">
        <f t="shared" si="6"/>
        <v>0</v>
      </c>
      <c r="O33" s="672">
        <f t="shared" si="7"/>
        <v>20160</v>
      </c>
      <c r="P33" s="672">
        <f t="shared" si="8"/>
        <v>0</v>
      </c>
      <c r="Q33" s="672">
        <f t="shared" si="9"/>
        <v>20160</v>
      </c>
    </row>
    <row r="34" spans="1:22" ht="19.5" customHeight="1" x14ac:dyDescent="0.25">
      <c r="A34" s="664"/>
      <c r="B34" s="664"/>
      <c r="C34" s="673"/>
      <c r="E34" s="667">
        <v>322.840104</v>
      </c>
      <c r="F34" s="668" t="s">
        <v>699</v>
      </c>
      <c r="G34" s="669">
        <v>500</v>
      </c>
      <c r="H34" s="669"/>
      <c r="I34" s="669"/>
      <c r="J34" s="670">
        <v>1</v>
      </c>
      <c r="K34" s="670">
        <v>0</v>
      </c>
      <c r="L34" s="670">
        <v>0</v>
      </c>
      <c r="M34" s="671">
        <f t="shared" si="5"/>
        <v>1</v>
      </c>
      <c r="N34" s="672">
        <f t="shared" si="6"/>
        <v>500</v>
      </c>
      <c r="O34" s="672">
        <f t="shared" si="7"/>
        <v>0</v>
      </c>
      <c r="P34" s="672">
        <f t="shared" si="8"/>
        <v>0</v>
      </c>
      <c r="Q34" s="672">
        <f t="shared" si="9"/>
        <v>500</v>
      </c>
    </row>
    <row r="35" spans="1:22" ht="19.5" customHeight="1" x14ac:dyDescent="0.25">
      <c r="A35" s="664"/>
      <c r="B35" s="664"/>
      <c r="C35" s="675"/>
      <c r="E35" s="667">
        <v>322.84010599999999</v>
      </c>
      <c r="F35" s="668" t="s">
        <v>873</v>
      </c>
      <c r="G35" s="669">
        <v>500</v>
      </c>
      <c r="H35" s="669"/>
      <c r="I35" s="669"/>
      <c r="J35" s="670">
        <v>1</v>
      </c>
      <c r="K35" s="670">
        <v>0</v>
      </c>
      <c r="L35" s="670">
        <v>0</v>
      </c>
      <c r="M35" s="671">
        <f t="shared" si="5"/>
        <v>1</v>
      </c>
      <c r="N35" s="672">
        <f t="shared" si="6"/>
        <v>500</v>
      </c>
      <c r="O35" s="672">
        <f t="shared" si="7"/>
        <v>0</v>
      </c>
      <c r="P35" s="672">
        <f t="shared" si="8"/>
        <v>0</v>
      </c>
      <c r="Q35" s="672">
        <f t="shared" si="9"/>
        <v>500</v>
      </c>
    </row>
    <row r="36" spans="1:22" ht="19.5" customHeight="1" x14ac:dyDescent="0.25">
      <c r="A36" s="664"/>
      <c r="B36" s="664"/>
      <c r="C36" s="676" t="s">
        <v>874</v>
      </c>
      <c r="E36" s="677">
        <v>750103.201</v>
      </c>
      <c r="F36" s="678" t="s">
        <v>875</v>
      </c>
      <c r="G36" s="679">
        <v>5810691.9000000004</v>
      </c>
      <c r="H36" s="679"/>
      <c r="I36" s="679"/>
      <c r="J36" s="670">
        <v>1</v>
      </c>
      <c r="K36" s="670">
        <v>0</v>
      </c>
      <c r="L36" s="670">
        <v>0</v>
      </c>
      <c r="M36" s="671">
        <f t="shared" si="5"/>
        <v>1</v>
      </c>
      <c r="N36" s="672">
        <f t="shared" si="6"/>
        <v>5810691.9000000004</v>
      </c>
      <c r="O36" s="672">
        <f t="shared" si="7"/>
        <v>0</v>
      </c>
      <c r="P36" s="672">
        <f t="shared" si="8"/>
        <v>0</v>
      </c>
      <c r="Q36" s="672">
        <f t="shared" si="9"/>
        <v>5810691.9000000004</v>
      </c>
    </row>
    <row r="37" spans="1:22" ht="36.75" customHeight="1" x14ac:dyDescent="0.25">
      <c r="A37" s="664"/>
      <c r="B37" s="664"/>
      <c r="C37" s="680"/>
      <c r="E37" s="677">
        <v>750103.01</v>
      </c>
      <c r="F37" s="631" t="s">
        <v>876</v>
      </c>
      <c r="G37" s="681">
        <v>188160.1</v>
      </c>
      <c r="H37" s="681"/>
      <c r="I37" s="681"/>
      <c r="J37" s="670">
        <v>1</v>
      </c>
      <c r="K37" s="670">
        <v>0</v>
      </c>
      <c r="L37" s="670">
        <v>0</v>
      </c>
      <c r="M37" s="671">
        <f t="shared" si="5"/>
        <v>1</v>
      </c>
      <c r="N37" s="672">
        <f t="shared" si="6"/>
        <v>188160.1</v>
      </c>
      <c r="O37" s="672">
        <f t="shared" si="7"/>
        <v>0</v>
      </c>
      <c r="P37" s="672">
        <f t="shared" si="8"/>
        <v>0</v>
      </c>
      <c r="Q37" s="672">
        <f t="shared" si="9"/>
        <v>188160.1</v>
      </c>
    </row>
    <row r="38" spans="1:22" ht="28.5" customHeight="1" x14ac:dyDescent="0.25">
      <c r="A38" s="664"/>
      <c r="B38" s="664"/>
      <c r="C38" s="680"/>
      <c r="E38" s="682" t="s">
        <v>877</v>
      </c>
      <c r="F38" s="683" t="s">
        <v>878</v>
      </c>
      <c r="G38" s="681">
        <v>80000</v>
      </c>
      <c r="H38" s="681">
        <v>-28000</v>
      </c>
      <c r="I38" s="681">
        <f>+G38+H38</f>
        <v>52000</v>
      </c>
      <c r="J38" s="670">
        <v>1</v>
      </c>
      <c r="K38" s="670">
        <v>0</v>
      </c>
      <c r="L38" s="670">
        <v>0</v>
      </c>
      <c r="M38" s="671">
        <f t="shared" si="5"/>
        <v>1</v>
      </c>
      <c r="N38" s="672">
        <f t="shared" si="6"/>
        <v>80000</v>
      </c>
      <c r="O38" s="672">
        <f t="shared" si="7"/>
        <v>0</v>
      </c>
      <c r="P38" s="672">
        <f t="shared" si="8"/>
        <v>0</v>
      </c>
      <c r="Q38" s="672">
        <f t="shared" si="9"/>
        <v>80000</v>
      </c>
    </row>
    <row r="39" spans="1:22" ht="24" customHeight="1" x14ac:dyDescent="0.25">
      <c r="A39" s="664"/>
      <c r="B39" s="664"/>
      <c r="C39" s="680"/>
      <c r="E39" s="682" t="s">
        <v>879</v>
      </c>
      <c r="F39" s="683" t="s">
        <v>880</v>
      </c>
      <c r="G39" s="681">
        <v>70000</v>
      </c>
      <c r="H39" s="681"/>
      <c r="I39" s="681"/>
      <c r="J39" s="670">
        <v>1</v>
      </c>
      <c r="K39" s="670">
        <v>0</v>
      </c>
      <c r="L39" s="670">
        <v>0</v>
      </c>
      <c r="M39" s="671">
        <f t="shared" si="5"/>
        <v>1</v>
      </c>
      <c r="N39" s="672">
        <f t="shared" si="6"/>
        <v>70000</v>
      </c>
      <c r="O39" s="672">
        <f t="shared" si="7"/>
        <v>0</v>
      </c>
      <c r="P39" s="672">
        <f t="shared" si="8"/>
        <v>0</v>
      </c>
      <c r="Q39" s="672">
        <f t="shared" si="9"/>
        <v>70000</v>
      </c>
    </row>
    <row r="40" spans="1:22" ht="24" customHeight="1" x14ac:dyDescent="0.25">
      <c r="A40" s="664"/>
      <c r="B40" s="664"/>
      <c r="C40" s="680"/>
      <c r="E40" s="682" t="s">
        <v>881</v>
      </c>
      <c r="F40" s="683" t="s">
        <v>882</v>
      </c>
      <c r="G40" s="681">
        <v>20000</v>
      </c>
      <c r="H40" s="681"/>
      <c r="I40" s="681"/>
      <c r="J40" s="670">
        <v>1</v>
      </c>
      <c r="K40" s="670">
        <v>0</v>
      </c>
      <c r="L40" s="670">
        <v>0</v>
      </c>
      <c r="M40" s="671">
        <f t="shared" si="5"/>
        <v>1</v>
      </c>
      <c r="N40" s="672">
        <f t="shared" si="6"/>
        <v>20000</v>
      </c>
      <c r="O40" s="672">
        <f t="shared" si="7"/>
        <v>0</v>
      </c>
      <c r="P40" s="672">
        <f t="shared" si="8"/>
        <v>0</v>
      </c>
      <c r="Q40" s="672">
        <f t="shared" si="9"/>
        <v>20000</v>
      </c>
    </row>
    <row r="41" spans="1:22" ht="36.75" customHeight="1" x14ac:dyDescent="0.25">
      <c r="A41" s="664"/>
      <c r="B41" s="664"/>
      <c r="C41" s="680"/>
      <c r="D41" s="101"/>
      <c r="E41" s="684">
        <v>322.84030100000001</v>
      </c>
      <c r="F41" s="631" t="s">
        <v>641</v>
      </c>
      <c r="G41" s="681">
        <v>1000</v>
      </c>
      <c r="H41" s="681"/>
      <c r="I41" s="681"/>
      <c r="J41" s="670">
        <v>1</v>
      </c>
      <c r="K41" s="670">
        <v>0</v>
      </c>
      <c r="L41" s="670">
        <v>0</v>
      </c>
      <c r="M41" s="671">
        <f t="shared" si="5"/>
        <v>1</v>
      </c>
      <c r="N41" s="672">
        <f t="shared" si="6"/>
        <v>1000</v>
      </c>
      <c r="O41" s="672">
        <f t="shared" si="7"/>
        <v>0</v>
      </c>
      <c r="P41" s="672">
        <f t="shared" si="8"/>
        <v>0</v>
      </c>
      <c r="Q41" s="672">
        <f t="shared" si="9"/>
        <v>1000</v>
      </c>
      <c r="R41" s="101"/>
      <c r="S41" s="101"/>
      <c r="T41" s="101"/>
      <c r="U41" s="101"/>
      <c r="V41" s="101"/>
    </row>
    <row r="42" spans="1:22" ht="18.75" x14ac:dyDescent="0.3">
      <c r="G42" s="685">
        <f>SUM(G10:G41)</f>
        <v>6264900.5499999998</v>
      </c>
      <c r="H42" s="685"/>
      <c r="I42" s="685"/>
    </row>
  </sheetData>
  <mergeCells count="25">
    <mergeCell ref="J8:M8"/>
    <mergeCell ref="N8:Q8"/>
    <mergeCell ref="A10:A41"/>
    <mergeCell ref="B10:B41"/>
    <mergeCell ref="C10:C15"/>
    <mergeCell ref="C16:C35"/>
    <mergeCell ref="C36:C41"/>
    <mergeCell ref="A7:I7"/>
    <mergeCell ref="J7:Q7"/>
    <mergeCell ref="A8:A9"/>
    <mergeCell ref="B8:B9"/>
    <mergeCell ref="C8:C9"/>
    <mergeCell ref="D8:D9"/>
    <mergeCell ref="E8:E9"/>
    <mergeCell ref="F8:F9"/>
    <mergeCell ref="G8:G9"/>
    <mergeCell ref="H8:I8"/>
    <mergeCell ref="D2:F2"/>
    <mergeCell ref="J2:Q2"/>
    <mergeCell ref="A3:B4"/>
    <mergeCell ref="D3:Q3"/>
    <mergeCell ref="D4:Q4"/>
    <mergeCell ref="A5:B6"/>
    <mergeCell ref="D5:Q5"/>
    <mergeCell ref="D6:Q6"/>
  </mergeCells>
  <pageMargins left="0.13" right="0.15" top="0.75" bottom="0.75" header="0.3" footer="0.3"/>
  <pageSetup paperSize="9" scale="58"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42B6-4373-464E-BF77-FBBBF44CDE2D}">
  <sheetPr>
    <pageSetUpPr fitToPage="1"/>
  </sheetPr>
  <dimension ref="A1:AC110"/>
  <sheetViews>
    <sheetView topLeftCell="A7" zoomScale="85" zoomScaleNormal="85" workbookViewId="0">
      <selection activeCell="L25" sqref="L25"/>
    </sheetView>
  </sheetViews>
  <sheetFormatPr baseColWidth="10" defaultColWidth="11.42578125" defaultRowHeight="15" x14ac:dyDescent="0.25"/>
  <cols>
    <col min="1" max="1" width="14.28515625" customWidth="1"/>
    <col min="2" max="2" width="28" customWidth="1"/>
    <col min="3" max="3" width="41.85546875" customWidth="1"/>
    <col min="4" max="4" width="30.7109375" customWidth="1"/>
    <col min="5" max="5" width="16.85546875" customWidth="1"/>
    <col min="6" max="6" width="44.42578125" customWidth="1"/>
    <col min="7" max="9" width="18.5703125" customWidth="1"/>
    <col min="10" max="10" width="5.7109375" customWidth="1"/>
    <col min="11" max="12" width="5.140625" customWidth="1"/>
    <col min="13" max="13" width="6.42578125" customWidth="1"/>
    <col min="14" max="14" width="11.140625" customWidth="1"/>
    <col min="15" max="15" width="10.85546875" customWidth="1"/>
    <col min="16" max="16" width="9.85546875" customWidth="1"/>
    <col min="17" max="17" width="13" customWidth="1"/>
    <col min="18" max="25" width="11.42578125" hidden="1" customWidth="1"/>
    <col min="26" max="26" width="13.28515625" hidden="1" customWidth="1"/>
    <col min="27" max="27" width="11.42578125" hidden="1" customWidth="1"/>
    <col min="28" max="29" width="0" hidden="1" customWidth="1"/>
  </cols>
  <sheetData>
    <row r="1" spans="1:27" ht="45" customHeight="1" x14ac:dyDescent="0.25">
      <c r="B1" s="16"/>
      <c r="C1" s="16" t="s">
        <v>0</v>
      </c>
      <c r="D1" s="686" t="s">
        <v>883</v>
      </c>
      <c r="E1" s="687"/>
      <c r="F1" s="688"/>
      <c r="G1" s="16" t="s">
        <v>1</v>
      </c>
      <c r="H1" s="689"/>
      <c r="I1" s="689"/>
      <c r="J1" s="690"/>
      <c r="K1" s="691"/>
      <c r="L1" s="691"/>
      <c r="M1" s="691"/>
      <c r="N1" s="691"/>
      <c r="O1" s="691"/>
      <c r="P1" s="691"/>
      <c r="Q1" s="692"/>
    </row>
    <row r="2" spans="1:27" ht="22.5" customHeight="1" x14ac:dyDescent="0.25">
      <c r="A2" s="693" t="s">
        <v>91</v>
      </c>
      <c r="B2" s="694"/>
      <c r="C2" s="17" t="s">
        <v>6</v>
      </c>
      <c r="D2" s="695"/>
      <c r="E2" s="696"/>
      <c r="F2" s="696"/>
      <c r="G2" s="696"/>
      <c r="H2" s="696"/>
      <c r="I2" s="696"/>
      <c r="J2" s="696"/>
      <c r="K2" s="696"/>
      <c r="L2" s="696"/>
      <c r="M2" s="696"/>
      <c r="N2" s="696"/>
      <c r="O2" s="696"/>
      <c r="P2" s="696"/>
      <c r="Q2" s="697"/>
    </row>
    <row r="3" spans="1:27" ht="22.5" customHeight="1" x14ac:dyDescent="0.25">
      <c r="A3" s="698"/>
      <c r="B3" s="699"/>
      <c r="C3" s="17" t="s">
        <v>7</v>
      </c>
      <c r="D3" s="695"/>
      <c r="E3" s="696"/>
      <c r="F3" s="696"/>
      <c r="G3" s="696"/>
      <c r="H3" s="696"/>
      <c r="I3" s="696"/>
      <c r="J3" s="696"/>
      <c r="K3" s="696"/>
      <c r="L3" s="696"/>
      <c r="M3" s="696"/>
      <c r="N3" s="696"/>
      <c r="O3" s="696"/>
      <c r="P3" s="696"/>
      <c r="Q3" s="697"/>
    </row>
    <row r="4" spans="1:27" ht="22.5" customHeight="1" x14ac:dyDescent="0.25">
      <c r="A4" s="700" t="s">
        <v>92</v>
      </c>
      <c r="B4" s="701"/>
      <c r="C4" s="18" t="s">
        <v>8</v>
      </c>
      <c r="D4" s="180"/>
      <c r="E4" s="181"/>
      <c r="F4" s="181"/>
      <c r="G4" s="181"/>
      <c r="H4" s="181"/>
      <c r="I4" s="181"/>
      <c r="J4" s="181"/>
      <c r="K4" s="181"/>
      <c r="L4" s="181"/>
      <c r="M4" s="181"/>
      <c r="N4" s="181"/>
      <c r="O4" s="181"/>
      <c r="P4" s="181"/>
      <c r="Q4" s="182"/>
    </row>
    <row r="5" spans="1:27" ht="22.5" customHeight="1" x14ac:dyDescent="0.25">
      <c r="A5" s="702"/>
      <c r="B5" s="703"/>
      <c r="C5" s="18" t="s">
        <v>9</v>
      </c>
      <c r="D5" s="695"/>
      <c r="E5" s="696"/>
      <c r="F5" s="696"/>
      <c r="G5" s="696"/>
      <c r="H5" s="696"/>
      <c r="I5" s="696"/>
      <c r="J5" s="696"/>
      <c r="K5" s="696"/>
      <c r="L5" s="696"/>
      <c r="M5" s="696"/>
      <c r="N5" s="696"/>
      <c r="O5" s="696"/>
      <c r="P5" s="696"/>
      <c r="Q5" s="697"/>
    </row>
    <row r="6" spans="1:27" ht="30" customHeight="1" x14ac:dyDescent="0.25">
      <c r="A6" s="86" t="s">
        <v>2</v>
      </c>
      <c r="B6" s="87"/>
      <c r="C6" s="87"/>
      <c r="D6" s="87"/>
      <c r="E6" s="87"/>
      <c r="F6" s="87"/>
      <c r="G6" s="87"/>
      <c r="H6" s="87"/>
      <c r="I6" s="57"/>
      <c r="J6" s="89" t="s">
        <v>3</v>
      </c>
      <c r="K6" s="90"/>
      <c r="L6" s="90"/>
      <c r="M6" s="90"/>
      <c r="N6" s="90"/>
      <c r="O6" s="90"/>
      <c r="P6" s="90"/>
      <c r="Q6" s="79"/>
    </row>
    <row r="7" spans="1:27" ht="15" customHeight="1" x14ac:dyDescent="0.25">
      <c r="A7" s="140" t="s">
        <v>10</v>
      </c>
      <c r="B7" s="140" t="s">
        <v>11</v>
      </c>
      <c r="C7" s="140" t="s">
        <v>12</v>
      </c>
      <c r="D7" s="140" t="s">
        <v>94</v>
      </c>
      <c r="E7" s="141" t="s">
        <v>13</v>
      </c>
      <c r="F7" s="140" t="s">
        <v>14</v>
      </c>
      <c r="G7" s="142" t="s">
        <v>95</v>
      </c>
      <c r="H7" s="466" t="s">
        <v>121</v>
      </c>
      <c r="I7" s="467"/>
      <c r="J7" s="89" t="s">
        <v>4</v>
      </c>
      <c r="K7" s="90"/>
      <c r="L7" s="90"/>
      <c r="M7" s="79"/>
      <c r="N7" s="89" t="s">
        <v>5</v>
      </c>
      <c r="O7" s="90"/>
      <c r="P7" s="90"/>
      <c r="Q7" s="79"/>
    </row>
    <row r="8" spans="1:27" x14ac:dyDescent="0.25">
      <c r="A8" s="143"/>
      <c r="B8" s="143"/>
      <c r="C8" s="143"/>
      <c r="D8" s="143"/>
      <c r="E8" s="144"/>
      <c r="F8" s="143"/>
      <c r="G8" s="145"/>
      <c r="H8" s="468" t="s">
        <v>122</v>
      </c>
      <c r="I8" s="468" t="s">
        <v>118</v>
      </c>
      <c r="J8" s="25" t="s">
        <v>15</v>
      </c>
      <c r="K8" s="25" t="s">
        <v>16</v>
      </c>
      <c r="L8" s="25" t="s">
        <v>17</v>
      </c>
      <c r="M8" s="25" t="s">
        <v>18</v>
      </c>
      <c r="N8" s="25" t="s">
        <v>15</v>
      </c>
      <c r="O8" s="25" t="s">
        <v>16</v>
      </c>
      <c r="P8" s="25" t="s">
        <v>17</v>
      </c>
      <c r="Q8" s="26" t="s">
        <v>18</v>
      </c>
    </row>
    <row r="9" spans="1:27" x14ac:dyDescent="0.25">
      <c r="A9" s="704"/>
      <c r="B9" s="705" t="s">
        <v>564</v>
      </c>
      <c r="C9" s="705" t="s">
        <v>550</v>
      </c>
      <c r="D9" s="706"/>
      <c r="E9" s="707">
        <v>710105</v>
      </c>
      <c r="F9" s="708" t="s">
        <v>125</v>
      </c>
      <c r="G9" s="709">
        <v>6798</v>
      </c>
      <c r="H9" s="709"/>
      <c r="I9" s="709"/>
      <c r="J9" s="1"/>
      <c r="K9" s="1"/>
      <c r="L9" s="1"/>
      <c r="M9" s="1"/>
      <c r="N9" s="1"/>
      <c r="O9" s="1"/>
      <c r="P9" s="1"/>
      <c r="Q9" s="1"/>
    </row>
    <row r="10" spans="1:27" x14ac:dyDescent="0.25">
      <c r="A10" s="710"/>
      <c r="B10" s="711"/>
      <c r="C10" s="711"/>
      <c r="D10" s="706"/>
      <c r="E10" s="707">
        <v>710203</v>
      </c>
      <c r="F10" s="708" t="s">
        <v>84</v>
      </c>
      <c r="G10" s="709">
        <v>1778.5</v>
      </c>
      <c r="H10" s="709"/>
      <c r="I10" s="709"/>
      <c r="J10" s="1"/>
      <c r="K10" s="1"/>
      <c r="L10" s="1"/>
      <c r="M10" s="1"/>
      <c r="N10" s="1"/>
      <c r="O10" s="1"/>
      <c r="P10" s="1"/>
      <c r="Q10" s="1"/>
    </row>
    <row r="11" spans="1:27" x14ac:dyDescent="0.25">
      <c r="A11" s="710"/>
      <c r="B11" s="711"/>
      <c r="C11" s="711"/>
      <c r="D11" s="706"/>
      <c r="E11" s="707">
        <v>710204</v>
      </c>
      <c r="F11" s="708" t="s">
        <v>127</v>
      </c>
      <c r="G11" s="709">
        <v>850</v>
      </c>
      <c r="H11" s="709"/>
      <c r="I11" s="709"/>
      <c r="J11" s="1"/>
      <c r="K11" s="1"/>
      <c r="L11" s="1"/>
      <c r="M11" s="1"/>
      <c r="N11" s="1"/>
      <c r="O11" s="1"/>
      <c r="P11" s="1"/>
      <c r="Q11" s="1"/>
    </row>
    <row r="12" spans="1:27" x14ac:dyDescent="0.25">
      <c r="A12" s="710"/>
      <c r="B12" s="711"/>
      <c r="C12" s="711"/>
      <c r="D12" s="706"/>
      <c r="E12" s="707">
        <v>710601</v>
      </c>
      <c r="F12" s="708" t="s">
        <v>86</v>
      </c>
      <c r="G12" s="709">
        <v>2486.34</v>
      </c>
      <c r="H12" s="709"/>
      <c r="I12" s="709"/>
      <c r="J12" s="1"/>
      <c r="K12" s="1"/>
      <c r="L12" s="1"/>
      <c r="M12" s="1"/>
      <c r="N12" s="1"/>
      <c r="O12" s="1"/>
      <c r="P12" s="1"/>
      <c r="Q12" s="1"/>
    </row>
    <row r="13" spans="1:27" x14ac:dyDescent="0.25">
      <c r="A13" s="710"/>
      <c r="B13" s="711"/>
      <c r="C13" s="711"/>
      <c r="D13" s="706"/>
      <c r="E13" s="707">
        <v>710602</v>
      </c>
      <c r="F13" s="708" t="s">
        <v>87</v>
      </c>
      <c r="G13" s="709">
        <v>1778.5</v>
      </c>
      <c r="H13" s="709"/>
      <c r="I13" s="709"/>
      <c r="J13" s="1"/>
      <c r="K13" s="1"/>
      <c r="L13" s="1"/>
      <c r="M13" s="1"/>
      <c r="N13" s="1"/>
      <c r="O13" s="1"/>
      <c r="P13" s="1"/>
      <c r="Q13" s="1"/>
    </row>
    <row r="14" spans="1:27" x14ac:dyDescent="0.25">
      <c r="A14" s="710"/>
      <c r="B14" s="711"/>
      <c r="C14" s="711"/>
      <c r="D14" s="706"/>
      <c r="E14" s="707" t="s">
        <v>884</v>
      </c>
      <c r="F14" s="708" t="s">
        <v>20</v>
      </c>
      <c r="G14" s="709">
        <v>14544</v>
      </c>
      <c r="H14" s="709"/>
      <c r="I14" s="709"/>
      <c r="J14" s="1"/>
      <c r="K14" s="1"/>
      <c r="L14" s="1"/>
      <c r="M14" s="1"/>
      <c r="N14" s="1"/>
      <c r="O14" s="1"/>
      <c r="P14" s="1"/>
      <c r="Q14" s="1"/>
    </row>
    <row r="15" spans="1:27" x14ac:dyDescent="0.25">
      <c r="A15" s="710"/>
      <c r="B15" s="711"/>
      <c r="C15" s="711"/>
      <c r="D15" s="706"/>
      <c r="E15" s="707" t="s">
        <v>885</v>
      </c>
      <c r="F15" s="708" t="s">
        <v>886</v>
      </c>
      <c r="G15" s="709">
        <v>500</v>
      </c>
      <c r="H15" s="709">
        <v>500</v>
      </c>
      <c r="I15" s="712">
        <f t="shared" ref="I15" si="0">+G15+H15</f>
        <v>1000</v>
      </c>
      <c r="J15" s="1"/>
      <c r="K15" s="1"/>
      <c r="L15" s="1"/>
      <c r="M15" s="1"/>
      <c r="N15" s="1"/>
      <c r="O15" s="1"/>
      <c r="P15" s="1"/>
      <c r="Q15" s="1"/>
    </row>
    <row r="16" spans="1:27" ht="15" customHeight="1" x14ac:dyDescent="0.25">
      <c r="A16" s="710"/>
      <c r="B16" s="711"/>
      <c r="C16" s="713" t="s">
        <v>887</v>
      </c>
      <c r="D16" s="714"/>
      <c r="E16" s="707" t="s">
        <v>888</v>
      </c>
      <c r="F16" s="715" t="s">
        <v>25</v>
      </c>
      <c r="G16" s="716">
        <v>500</v>
      </c>
      <c r="H16" s="716"/>
      <c r="I16" s="716"/>
      <c r="J16" s="717"/>
      <c r="K16" s="717"/>
      <c r="L16" s="717"/>
      <c r="M16" s="717"/>
      <c r="N16" s="717"/>
      <c r="O16" s="717"/>
      <c r="P16" s="717"/>
      <c r="Q16" s="717"/>
      <c r="R16" s="101"/>
      <c r="S16" s="101"/>
      <c r="T16" s="101"/>
      <c r="U16" s="101"/>
      <c r="V16" s="101"/>
      <c r="W16" s="101"/>
      <c r="X16" s="101"/>
      <c r="Y16" s="101"/>
      <c r="Z16" s="101"/>
      <c r="AA16" s="101"/>
    </row>
    <row r="17" spans="1:29" x14ac:dyDescent="0.25">
      <c r="A17" s="710"/>
      <c r="B17" s="711"/>
      <c r="C17" s="718"/>
      <c r="D17" s="719"/>
      <c r="E17" s="707" t="s">
        <v>889</v>
      </c>
      <c r="F17" s="715" t="s">
        <v>41</v>
      </c>
      <c r="G17" s="716">
        <v>200</v>
      </c>
      <c r="H17" s="716"/>
      <c r="I17" s="716"/>
      <c r="J17" s="720"/>
      <c r="K17" s="721"/>
      <c r="L17" s="721"/>
      <c r="M17" s="721"/>
      <c r="N17" s="721"/>
      <c r="O17" s="721"/>
      <c r="P17" s="721"/>
      <c r="Q17" s="721"/>
      <c r="R17" s="722"/>
      <c r="S17" s="186"/>
      <c r="T17" s="186"/>
      <c r="U17" s="186"/>
      <c r="V17" s="723"/>
      <c r="W17" s="186"/>
      <c r="X17" s="186"/>
      <c r="Y17" s="186"/>
      <c r="Z17" s="187"/>
      <c r="AA17" s="187"/>
    </row>
    <row r="18" spans="1:29" ht="15" customHeight="1" x14ac:dyDescent="0.25">
      <c r="A18" s="710"/>
      <c r="B18" s="724" t="s">
        <v>890</v>
      </c>
      <c r="C18" s="724"/>
      <c r="D18" s="724"/>
      <c r="E18" s="724"/>
      <c r="F18" s="725"/>
      <c r="G18" s="726">
        <f>SUM(G9:G17)</f>
        <v>29435.34</v>
      </c>
      <c r="H18" s="726"/>
      <c r="I18" s="726"/>
      <c r="J18" s="727"/>
      <c r="K18" s="727"/>
      <c r="L18" s="727"/>
      <c r="M18" s="727"/>
      <c r="N18" s="727"/>
      <c r="O18" s="727"/>
      <c r="P18" s="727"/>
      <c r="Q18" s="727"/>
      <c r="R18" s="728" t="s">
        <v>3</v>
      </c>
      <c r="S18" s="728"/>
      <c r="T18" s="728"/>
      <c r="U18" s="728"/>
      <c r="V18" s="728"/>
      <c r="W18" s="728"/>
      <c r="X18" s="728"/>
      <c r="Y18" s="729"/>
      <c r="Z18" s="730" t="s">
        <v>891</v>
      </c>
      <c r="AA18" s="730" t="s">
        <v>892</v>
      </c>
    </row>
    <row r="19" spans="1:29" ht="31.5" customHeight="1" x14ac:dyDescent="0.25">
      <c r="A19" s="710"/>
      <c r="B19" s="731" t="s">
        <v>893</v>
      </c>
      <c r="C19" s="732" t="s">
        <v>894</v>
      </c>
      <c r="D19" s="733" t="s">
        <v>895</v>
      </c>
      <c r="E19" s="734">
        <v>210730205.21200001</v>
      </c>
      <c r="F19" s="735" t="s">
        <v>896</v>
      </c>
      <c r="G19" s="736">
        <v>10000</v>
      </c>
      <c r="H19" s="736">
        <v>-3500</v>
      </c>
      <c r="I19" s="712">
        <f t="shared" ref="I19:I20" si="1">+G19+H19</f>
        <v>6500</v>
      </c>
      <c r="J19" s="1"/>
      <c r="K19" s="1"/>
      <c r="L19" s="737"/>
      <c r="M19" s="738"/>
      <c r="N19" s="739"/>
      <c r="O19" s="1"/>
      <c r="P19" s="1"/>
      <c r="Q19" s="1"/>
      <c r="R19" s="740">
        <v>0</v>
      </c>
      <c r="S19" s="741">
        <v>1</v>
      </c>
      <c r="T19" s="741">
        <v>0</v>
      </c>
      <c r="U19" s="741">
        <v>1</v>
      </c>
      <c r="V19" s="742">
        <v>0</v>
      </c>
      <c r="W19" s="742">
        <f>G19</f>
        <v>10000</v>
      </c>
      <c r="X19" s="743">
        <v>0</v>
      </c>
      <c r="Y19" s="744">
        <f>W19</f>
        <v>10000</v>
      </c>
      <c r="Z19" s="745">
        <f>SUM(G19:G25)</f>
        <v>82600</v>
      </c>
      <c r="AC19" s="746" t="s">
        <v>897</v>
      </c>
    </row>
    <row r="20" spans="1:29" ht="38.25" customHeight="1" x14ac:dyDescent="0.25">
      <c r="A20" s="710"/>
      <c r="B20" s="731"/>
      <c r="C20" s="747" t="s">
        <v>898</v>
      </c>
      <c r="D20" s="748" t="s">
        <v>899</v>
      </c>
      <c r="E20" s="749">
        <v>210730205.21200001</v>
      </c>
      <c r="F20" s="735" t="s">
        <v>896</v>
      </c>
      <c r="G20" s="750">
        <v>5000</v>
      </c>
      <c r="H20" s="750">
        <v>3500</v>
      </c>
      <c r="I20" s="712">
        <f t="shared" si="1"/>
        <v>8500</v>
      </c>
      <c r="J20" s="1"/>
      <c r="K20" s="1"/>
      <c r="L20" s="751"/>
      <c r="M20" s="751"/>
      <c r="N20" s="751"/>
      <c r="O20" s="1"/>
      <c r="P20" s="1"/>
      <c r="Q20" s="1"/>
      <c r="R20" s="752">
        <v>1</v>
      </c>
      <c r="S20" s="753">
        <v>0</v>
      </c>
      <c r="T20" s="753">
        <v>0</v>
      </c>
      <c r="U20" s="753">
        <v>1</v>
      </c>
      <c r="V20" s="754">
        <v>3900</v>
      </c>
      <c r="W20" s="755">
        <v>0</v>
      </c>
      <c r="X20" s="755">
        <v>0</v>
      </c>
      <c r="Y20" s="756">
        <v>5000</v>
      </c>
      <c r="Z20" s="207"/>
      <c r="AA20" s="757"/>
      <c r="AC20" s="758" t="s">
        <v>897</v>
      </c>
    </row>
    <row r="21" spans="1:29" ht="31.5" customHeight="1" x14ac:dyDescent="0.25">
      <c r="A21" s="710"/>
      <c r="B21" s="731"/>
      <c r="C21" s="759" t="s">
        <v>900</v>
      </c>
      <c r="D21" s="760" t="s">
        <v>901</v>
      </c>
      <c r="E21" s="761">
        <v>210730205</v>
      </c>
      <c r="F21" s="735" t="s">
        <v>896</v>
      </c>
      <c r="G21" s="712">
        <f>8000</f>
        <v>8000</v>
      </c>
      <c r="H21" s="712">
        <v>-2500</v>
      </c>
      <c r="I21" s="712">
        <f>+G21+H21</f>
        <v>5500</v>
      </c>
      <c r="J21" s="1"/>
      <c r="K21" s="1"/>
      <c r="L21" s="762"/>
      <c r="M21" s="762"/>
      <c r="N21" s="762"/>
      <c r="O21" s="1"/>
      <c r="P21" s="1"/>
      <c r="Q21" s="1"/>
      <c r="R21" s="763">
        <v>0</v>
      </c>
      <c r="S21" s="764">
        <v>0</v>
      </c>
      <c r="T21" s="764">
        <v>1</v>
      </c>
      <c r="U21" s="764">
        <v>1</v>
      </c>
      <c r="V21" s="765">
        <v>0</v>
      </c>
      <c r="W21" s="765">
        <v>0</v>
      </c>
      <c r="X21" s="765">
        <f>G21</f>
        <v>8000</v>
      </c>
      <c r="Y21" s="766">
        <f>X21</f>
        <v>8000</v>
      </c>
      <c r="Z21" s="207"/>
      <c r="AC21" s="767" t="s">
        <v>897</v>
      </c>
    </row>
    <row r="22" spans="1:29" ht="30.75" customHeight="1" x14ac:dyDescent="0.25">
      <c r="A22" s="710"/>
      <c r="B22" s="731"/>
      <c r="C22" s="768" t="s">
        <v>902</v>
      </c>
      <c r="D22" s="769" t="s">
        <v>903</v>
      </c>
      <c r="E22" s="770">
        <v>210730205</v>
      </c>
      <c r="F22" s="735" t="s">
        <v>896</v>
      </c>
      <c r="G22" s="771">
        <v>2600</v>
      </c>
      <c r="H22" s="771"/>
      <c r="I22" s="771"/>
      <c r="J22" s="1"/>
      <c r="K22" s="1"/>
      <c r="L22" s="772"/>
      <c r="M22" s="772"/>
      <c r="N22" s="772"/>
      <c r="O22" s="1"/>
      <c r="P22" s="1"/>
      <c r="Q22" s="1"/>
      <c r="R22" s="773">
        <v>0</v>
      </c>
      <c r="S22" s="774">
        <v>0</v>
      </c>
      <c r="T22" s="774">
        <v>0</v>
      </c>
      <c r="U22" s="774">
        <v>1</v>
      </c>
      <c r="V22" s="775">
        <v>0</v>
      </c>
      <c r="W22" s="775">
        <v>0</v>
      </c>
      <c r="X22" s="775">
        <f>G22</f>
        <v>2600</v>
      </c>
      <c r="Y22" s="776">
        <f>X22</f>
        <v>2600</v>
      </c>
      <c r="Z22" s="207"/>
      <c r="AC22" s="777" t="s">
        <v>904</v>
      </c>
    </row>
    <row r="23" spans="1:29" ht="33" customHeight="1" x14ac:dyDescent="0.25">
      <c r="A23" s="710"/>
      <c r="B23" s="731"/>
      <c r="C23" s="778" t="s">
        <v>905</v>
      </c>
      <c r="D23" s="779" t="s">
        <v>906</v>
      </c>
      <c r="E23" s="770" t="s">
        <v>907</v>
      </c>
      <c r="F23" s="735" t="s">
        <v>896</v>
      </c>
      <c r="G23" s="780">
        <v>3500</v>
      </c>
      <c r="H23" s="780"/>
      <c r="I23" s="780"/>
      <c r="J23" s="1"/>
      <c r="K23" s="1"/>
      <c r="L23" s="772"/>
      <c r="M23" s="772"/>
      <c r="N23" s="772"/>
      <c r="O23" s="1"/>
      <c r="P23" s="1"/>
      <c r="Q23" s="1"/>
      <c r="R23" s="773">
        <v>0</v>
      </c>
      <c r="S23" s="774">
        <v>0</v>
      </c>
      <c r="T23" s="774">
        <v>0</v>
      </c>
      <c r="U23" s="774">
        <v>1</v>
      </c>
      <c r="V23" s="781">
        <v>0</v>
      </c>
      <c r="W23" s="781">
        <v>0</v>
      </c>
      <c r="X23" s="782">
        <f>G23</f>
        <v>3500</v>
      </c>
      <c r="Y23" s="783">
        <f>X23</f>
        <v>3500</v>
      </c>
      <c r="Z23" s="207"/>
      <c r="AC23" s="777" t="s">
        <v>908</v>
      </c>
    </row>
    <row r="24" spans="1:29" ht="12" customHeight="1" x14ac:dyDescent="0.25">
      <c r="A24" s="710"/>
      <c r="B24" s="731"/>
      <c r="C24" s="784"/>
      <c r="D24" s="785"/>
      <c r="E24" s="770" t="s">
        <v>907</v>
      </c>
      <c r="F24" s="735" t="s">
        <v>896</v>
      </c>
      <c r="G24" s="780">
        <v>3500</v>
      </c>
      <c r="H24" s="780"/>
      <c r="I24" s="780"/>
      <c r="J24" s="1"/>
      <c r="K24" s="1"/>
      <c r="L24" s="772"/>
      <c r="M24" s="772"/>
      <c r="N24" s="772"/>
      <c r="O24" s="1"/>
      <c r="P24" s="1"/>
      <c r="Q24" s="1"/>
      <c r="R24" s="773">
        <v>0</v>
      </c>
      <c r="S24" s="774">
        <v>0</v>
      </c>
      <c r="T24" s="774">
        <v>0</v>
      </c>
      <c r="U24" s="774">
        <v>1</v>
      </c>
      <c r="V24" s="781">
        <v>0</v>
      </c>
      <c r="W24" s="781">
        <v>0</v>
      </c>
      <c r="X24" s="782">
        <f>G24</f>
        <v>3500</v>
      </c>
      <c r="Y24" s="783">
        <f>X24</f>
        <v>3500</v>
      </c>
      <c r="Z24" s="207"/>
      <c r="AC24" s="777" t="s">
        <v>909</v>
      </c>
    </row>
    <row r="25" spans="1:29" ht="42.75" customHeight="1" x14ac:dyDescent="0.25">
      <c r="A25" s="710"/>
      <c r="B25" s="786"/>
      <c r="C25" s="787" t="s">
        <v>910</v>
      </c>
      <c r="D25" s="769" t="s">
        <v>911</v>
      </c>
      <c r="E25" s="770">
        <v>210730205</v>
      </c>
      <c r="F25" s="735" t="s">
        <v>896</v>
      </c>
      <c r="G25" s="771">
        <v>50000</v>
      </c>
      <c r="H25" s="771"/>
      <c r="I25" s="771"/>
      <c r="J25" s="1"/>
      <c r="K25" s="1"/>
      <c r="L25" s="788"/>
      <c r="M25" s="772"/>
      <c r="N25" s="772"/>
      <c r="O25" s="1"/>
      <c r="P25" s="1"/>
      <c r="Q25" s="1"/>
      <c r="R25" s="773">
        <v>0</v>
      </c>
      <c r="S25" s="774">
        <v>0</v>
      </c>
      <c r="T25" s="774">
        <v>0</v>
      </c>
      <c r="U25" s="774">
        <v>1</v>
      </c>
      <c r="V25" s="781">
        <v>0</v>
      </c>
      <c r="W25" s="781">
        <v>0</v>
      </c>
      <c r="X25" s="782">
        <f>G25</f>
        <v>50000</v>
      </c>
      <c r="Y25" s="783">
        <f>X25</f>
        <v>50000</v>
      </c>
      <c r="Z25" s="207"/>
      <c r="AC25" s="777" t="s">
        <v>897</v>
      </c>
    </row>
    <row r="26" spans="1:29" ht="27" customHeight="1" x14ac:dyDescent="0.25">
      <c r="A26" s="710"/>
      <c r="B26" s="778" t="s">
        <v>912</v>
      </c>
      <c r="C26" s="789" t="s">
        <v>913</v>
      </c>
      <c r="D26" s="790" t="s">
        <v>914</v>
      </c>
      <c r="E26" s="734">
        <v>210730205</v>
      </c>
      <c r="F26" s="735" t="s">
        <v>896</v>
      </c>
      <c r="G26" s="736">
        <v>2590</v>
      </c>
      <c r="H26" s="736"/>
      <c r="I26" s="736"/>
      <c r="J26" s="1"/>
      <c r="K26" s="1"/>
      <c r="L26" s="737"/>
      <c r="M26" s="751"/>
      <c r="N26" s="739"/>
      <c r="O26" s="1"/>
      <c r="P26" s="1"/>
      <c r="Q26" s="1"/>
      <c r="R26" s="791">
        <v>0</v>
      </c>
      <c r="S26" s="792">
        <v>1</v>
      </c>
      <c r="T26" s="792">
        <v>0</v>
      </c>
      <c r="U26" s="792">
        <v>1</v>
      </c>
      <c r="V26" s="793">
        <v>0</v>
      </c>
      <c r="W26" s="794">
        <v>3030</v>
      </c>
      <c r="X26" s="795">
        <v>0</v>
      </c>
      <c r="Y26" s="796" t="e">
        <f>#REF!+#REF!+#REF!+G26</f>
        <v>#REF!</v>
      </c>
      <c r="Z26" s="797">
        <f>SUM(G26:G38)</f>
        <v>56395.199999999997</v>
      </c>
      <c r="AA26" s="798"/>
      <c r="AC26" s="799" t="s">
        <v>915</v>
      </c>
    </row>
    <row r="27" spans="1:29" ht="27.75" customHeight="1" x14ac:dyDescent="0.25">
      <c r="A27" s="710"/>
      <c r="B27" s="800"/>
      <c r="C27" s="732" t="s">
        <v>916</v>
      </c>
      <c r="D27" s="801" t="s">
        <v>901</v>
      </c>
      <c r="E27" s="734">
        <v>840104</v>
      </c>
      <c r="F27" s="802" t="s">
        <v>917</v>
      </c>
      <c r="G27" s="736">
        <v>6300</v>
      </c>
      <c r="H27" s="736"/>
      <c r="I27" s="736"/>
      <c r="J27" s="1"/>
      <c r="K27" s="1"/>
      <c r="L27" s="737"/>
      <c r="M27" s="738"/>
      <c r="N27" s="738"/>
      <c r="O27" s="1"/>
      <c r="P27" s="1"/>
      <c r="Q27" s="1"/>
      <c r="R27" s="803">
        <v>1</v>
      </c>
      <c r="S27" s="804">
        <v>0</v>
      </c>
      <c r="T27" s="804">
        <v>0</v>
      </c>
      <c r="U27" s="804">
        <v>1</v>
      </c>
      <c r="V27" s="805">
        <f>G27</f>
        <v>6300</v>
      </c>
      <c r="W27" s="806">
        <v>0</v>
      </c>
      <c r="X27" s="806">
        <v>0</v>
      </c>
      <c r="Y27" s="807">
        <f>V27</f>
        <v>6300</v>
      </c>
      <c r="Z27" s="797"/>
      <c r="AC27" s="808" t="s">
        <v>918</v>
      </c>
    </row>
    <row r="28" spans="1:29" ht="40.5" customHeight="1" x14ac:dyDescent="0.25">
      <c r="A28" s="710"/>
      <c r="B28" s="800"/>
      <c r="C28" s="759" t="s">
        <v>919</v>
      </c>
      <c r="D28" s="809" t="s">
        <v>901</v>
      </c>
      <c r="E28" s="761">
        <v>730404</v>
      </c>
      <c r="F28" s="810" t="s">
        <v>920</v>
      </c>
      <c r="G28" s="712">
        <v>1800</v>
      </c>
      <c r="H28" s="712"/>
      <c r="I28" s="712"/>
      <c r="J28" s="1"/>
      <c r="K28" s="1"/>
      <c r="L28" s="772"/>
      <c r="M28" s="772"/>
      <c r="N28" s="772"/>
      <c r="O28" s="1"/>
      <c r="P28" s="1"/>
      <c r="Q28" s="1"/>
      <c r="R28" s="811">
        <v>0.4</v>
      </c>
      <c r="S28" s="812">
        <v>0.3</v>
      </c>
      <c r="T28" s="812">
        <v>0.3</v>
      </c>
      <c r="U28" s="812">
        <v>1</v>
      </c>
      <c r="V28" s="813">
        <v>720</v>
      </c>
      <c r="W28" s="813">
        <v>540</v>
      </c>
      <c r="X28" s="813">
        <v>540</v>
      </c>
      <c r="Y28" s="814">
        <f>X28+W28+V28</f>
        <v>1800</v>
      </c>
      <c r="Z28" s="797"/>
      <c r="AC28" s="767" t="s">
        <v>921</v>
      </c>
    </row>
    <row r="29" spans="1:29" ht="18" customHeight="1" x14ac:dyDescent="0.25">
      <c r="A29" s="710"/>
      <c r="B29" s="800"/>
      <c r="C29" s="815" t="s">
        <v>922</v>
      </c>
      <c r="D29" s="816" t="s">
        <v>923</v>
      </c>
      <c r="E29" s="817">
        <v>710105</v>
      </c>
      <c r="F29" s="801" t="s">
        <v>125</v>
      </c>
      <c r="G29" s="771">
        <v>18600</v>
      </c>
      <c r="H29" s="771"/>
      <c r="I29" s="771"/>
      <c r="J29" s="1"/>
      <c r="K29" s="1"/>
      <c r="L29" s="772"/>
      <c r="M29" s="772"/>
      <c r="N29" s="772"/>
      <c r="O29" s="1"/>
      <c r="P29" s="1"/>
      <c r="Q29" s="1"/>
      <c r="R29" s="818"/>
      <c r="S29" s="819"/>
      <c r="T29" s="819"/>
      <c r="U29" s="820"/>
      <c r="V29" s="821"/>
      <c r="W29" s="821"/>
      <c r="X29" s="822"/>
      <c r="Y29" s="823"/>
      <c r="Z29" s="797"/>
      <c r="AB29" s="824" t="s">
        <v>924</v>
      </c>
    </row>
    <row r="30" spans="1:29" ht="18" customHeight="1" x14ac:dyDescent="0.25">
      <c r="A30" s="710"/>
      <c r="B30" s="800"/>
      <c r="C30" s="815"/>
      <c r="D30" s="816"/>
      <c r="E30" s="817">
        <v>710203</v>
      </c>
      <c r="F30" s="801" t="s">
        <v>84</v>
      </c>
      <c r="G30" s="771">
        <v>2400</v>
      </c>
      <c r="H30" s="771"/>
      <c r="I30" s="771"/>
      <c r="J30" s="1"/>
      <c r="K30" s="1"/>
      <c r="L30" s="772"/>
      <c r="M30" s="772"/>
      <c r="N30" s="772"/>
      <c r="O30" s="1"/>
      <c r="P30" s="1"/>
      <c r="Q30" s="1"/>
      <c r="R30" s="818"/>
      <c r="S30" s="819"/>
      <c r="T30" s="819"/>
      <c r="U30" s="820"/>
      <c r="V30" s="821"/>
      <c r="W30" s="821"/>
      <c r="X30" s="822"/>
      <c r="Y30" s="823"/>
      <c r="Z30" s="797"/>
      <c r="AB30" s="824"/>
    </row>
    <row r="31" spans="1:29" ht="18" customHeight="1" x14ac:dyDescent="0.25">
      <c r="A31" s="710"/>
      <c r="B31" s="800"/>
      <c r="C31" s="815"/>
      <c r="D31" s="816"/>
      <c r="E31" s="817">
        <v>710204</v>
      </c>
      <c r="F31" s="801" t="s">
        <v>127</v>
      </c>
      <c r="G31" s="771">
        <v>1700</v>
      </c>
      <c r="H31" s="771"/>
      <c r="I31" s="771"/>
      <c r="J31" s="1"/>
      <c r="K31" s="1"/>
      <c r="L31" s="772"/>
      <c r="M31" s="772"/>
      <c r="N31" s="772"/>
      <c r="O31" s="1"/>
      <c r="P31" s="1"/>
      <c r="Q31" s="1"/>
      <c r="R31" s="818"/>
      <c r="S31" s="819"/>
      <c r="T31" s="819"/>
      <c r="U31" s="820"/>
      <c r="V31" s="821"/>
      <c r="W31" s="821"/>
      <c r="X31" s="822"/>
      <c r="Y31" s="823"/>
      <c r="Z31" s="797"/>
      <c r="AB31" s="824"/>
    </row>
    <row r="32" spans="1:29" ht="18" customHeight="1" x14ac:dyDescent="0.25">
      <c r="A32" s="710"/>
      <c r="B32" s="800"/>
      <c r="C32" s="815"/>
      <c r="D32" s="816"/>
      <c r="E32" s="817">
        <v>710601</v>
      </c>
      <c r="F32" s="801" t="s">
        <v>86</v>
      </c>
      <c r="G32" s="771">
        <v>3355.2</v>
      </c>
      <c r="H32" s="771"/>
      <c r="I32" s="771"/>
      <c r="J32" s="1"/>
      <c r="K32" s="1"/>
      <c r="L32" s="772"/>
      <c r="M32" s="772"/>
      <c r="N32" s="772"/>
      <c r="O32" s="1"/>
      <c r="P32" s="1"/>
      <c r="Q32" s="1"/>
      <c r="R32" s="818"/>
      <c r="S32" s="819"/>
      <c r="T32" s="819"/>
      <c r="U32" s="820"/>
      <c r="V32" s="821"/>
      <c r="W32" s="821"/>
      <c r="X32" s="822"/>
      <c r="Y32" s="823"/>
      <c r="Z32" s="797"/>
      <c r="AB32" s="824"/>
    </row>
    <row r="33" spans="1:28" ht="18" customHeight="1" x14ac:dyDescent="0.25">
      <c r="A33" s="710"/>
      <c r="B33" s="800"/>
      <c r="C33" s="815"/>
      <c r="D33" s="816"/>
      <c r="E33" s="817">
        <v>710602</v>
      </c>
      <c r="F33" s="801" t="s">
        <v>87</v>
      </c>
      <c r="G33" s="771">
        <v>2400</v>
      </c>
      <c r="H33" s="771"/>
      <c r="I33" s="771"/>
      <c r="J33" s="1"/>
      <c r="K33" s="1"/>
      <c r="L33" s="772"/>
      <c r="M33" s="772"/>
      <c r="N33" s="772"/>
      <c r="O33" s="1"/>
      <c r="P33" s="1"/>
      <c r="Q33" s="1"/>
      <c r="R33" s="818"/>
      <c r="S33" s="819"/>
      <c r="T33" s="819"/>
      <c r="U33" s="820"/>
      <c r="V33" s="821"/>
      <c r="W33" s="821"/>
      <c r="X33" s="822"/>
      <c r="Y33" s="823"/>
      <c r="Z33" s="797"/>
      <c r="AB33" s="824"/>
    </row>
    <row r="34" spans="1:28" ht="18" customHeight="1" x14ac:dyDescent="0.25">
      <c r="A34" s="710"/>
      <c r="B34" s="800"/>
      <c r="C34" s="815"/>
      <c r="D34" s="816"/>
      <c r="E34" s="817" t="s">
        <v>884</v>
      </c>
      <c r="F34" s="801" t="s">
        <v>20</v>
      </c>
      <c r="G34" s="771">
        <v>10200</v>
      </c>
      <c r="H34" s="771"/>
      <c r="I34" s="771"/>
      <c r="J34" s="1"/>
      <c r="K34" s="1"/>
      <c r="L34" s="772"/>
      <c r="M34" s="772"/>
      <c r="N34" s="772"/>
      <c r="O34" s="1"/>
      <c r="P34" s="1"/>
      <c r="Q34" s="1"/>
      <c r="R34" s="818"/>
      <c r="S34" s="819"/>
      <c r="T34" s="819"/>
      <c r="U34" s="820"/>
      <c r="V34" s="821"/>
      <c r="W34" s="821"/>
      <c r="X34" s="822"/>
      <c r="Y34" s="823"/>
      <c r="Z34" s="797"/>
      <c r="AB34" s="824"/>
    </row>
    <row r="35" spans="1:28" ht="18" customHeight="1" x14ac:dyDescent="0.25">
      <c r="A35" s="710"/>
      <c r="B35" s="800"/>
      <c r="C35" s="815"/>
      <c r="D35" s="816"/>
      <c r="E35" s="825">
        <v>730812</v>
      </c>
      <c r="F35" s="801" t="s">
        <v>925</v>
      </c>
      <c r="G35" s="771">
        <v>800</v>
      </c>
      <c r="H35" s="771"/>
      <c r="I35" s="771"/>
      <c r="J35" s="1"/>
      <c r="K35" s="1"/>
      <c r="L35" s="772"/>
      <c r="M35" s="772"/>
      <c r="N35" s="772"/>
      <c r="O35" s="1"/>
      <c r="P35" s="1"/>
      <c r="Q35" s="1"/>
      <c r="R35" s="826">
        <v>1</v>
      </c>
      <c r="S35" s="820">
        <v>0</v>
      </c>
      <c r="T35" s="820">
        <v>0</v>
      </c>
      <c r="U35" s="820">
        <v>1</v>
      </c>
      <c r="V35" s="821">
        <v>800</v>
      </c>
      <c r="W35" s="821">
        <v>0</v>
      </c>
      <c r="X35" s="822">
        <v>0</v>
      </c>
      <c r="Y35" s="823">
        <f>V35</f>
        <v>800</v>
      </c>
      <c r="Z35" s="797"/>
      <c r="AB35" s="824"/>
    </row>
    <row r="36" spans="1:28" ht="18" customHeight="1" x14ac:dyDescent="0.25">
      <c r="A36" s="710"/>
      <c r="B36" s="800"/>
      <c r="C36" s="815"/>
      <c r="D36" s="816"/>
      <c r="E36" s="825">
        <v>730201</v>
      </c>
      <c r="F36" s="801" t="s">
        <v>518</v>
      </c>
      <c r="G36" s="771">
        <v>2000</v>
      </c>
      <c r="H36" s="771"/>
      <c r="I36" s="771"/>
      <c r="J36" s="1"/>
      <c r="K36" s="1"/>
      <c r="L36" s="772"/>
      <c r="M36" s="772"/>
      <c r="N36" s="772"/>
      <c r="O36" s="1"/>
      <c r="P36" s="1"/>
      <c r="Q36" s="1"/>
      <c r="R36" s="818">
        <v>0.33329999999999999</v>
      </c>
      <c r="S36" s="819">
        <v>0.33329999999999999</v>
      </c>
      <c r="T36" s="819">
        <v>0.33339999999999997</v>
      </c>
      <c r="U36" s="820">
        <f>SUM(R36:T36)</f>
        <v>1</v>
      </c>
      <c r="V36" s="821">
        <f>G36*33.33/100</f>
        <v>666.6</v>
      </c>
      <c r="W36" s="821">
        <f>V36</f>
        <v>666.6</v>
      </c>
      <c r="X36" s="827">
        <f>G36*33.34/100</f>
        <v>666.8</v>
      </c>
      <c r="Y36" s="823">
        <f>SUM(V36:X36)</f>
        <v>2000</v>
      </c>
      <c r="Z36" s="797"/>
      <c r="AB36" s="824"/>
    </row>
    <row r="37" spans="1:28" ht="18" customHeight="1" x14ac:dyDescent="0.25">
      <c r="A37" s="710"/>
      <c r="B37" s="800"/>
      <c r="C37" s="815"/>
      <c r="D37" s="816"/>
      <c r="E37" s="825" t="s">
        <v>926</v>
      </c>
      <c r="F37" s="801" t="s">
        <v>927</v>
      </c>
      <c r="G37" s="828">
        <v>3000</v>
      </c>
      <c r="H37" s="828"/>
      <c r="I37" s="828"/>
      <c r="J37" s="1"/>
      <c r="K37" s="1"/>
      <c r="L37" s="772"/>
      <c r="M37" s="772"/>
      <c r="N37" s="772"/>
      <c r="O37" s="1"/>
      <c r="P37" s="1"/>
      <c r="Q37" s="1"/>
      <c r="R37" s="818">
        <v>0.33329999999999999</v>
      </c>
      <c r="S37" s="819">
        <v>0.33329999999999999</v>
      </c>
      <c r="T37" s="819">
        <v>0.33339999999999997</v>
      </c>
      <c r="U37" s="820">
        <f>SUM(R37:T37)</f>
        <v>1</v>
      </c>
      <c r="V37" s="821">
        <f>G37*33.33/100</f>
        <v>999.9</v>
      </c>
      <c r="W37" s="821">
        <f>V37</f>
        <v>999.9</v>
      </c>
      <c r="X37" s="827">
        <f>G37*33.34/100</f>
        <v>1000.2000000000002</v>
      </c>
      <c r="Y37" s="823">
        <f>SUM(V37:X37)</f>
        <v>3000</v>
      </c>
      <c r="Z37" s="797"/>
      <c r="AB37" s="824"/>
    </row>
    <row r="38" spans="1:28" ht="41.25" customHeight="1" x14ac:dyDescent="0.25">
      <c r="A38" s="710"/>
      <c r="B38" s="784"/>
      <c r="C38" s="829" t="s">
        <v>928</v>
      </c>
      <c r="D38" s="830" t="s">
        <v>929</v>
      </c>
      <c r="E38" s="831" t="s">
        <v>930</v>
      </c>
      <c r="F38" s="830" t="s">
        <v>931</v>
      </c>
      <c r="G38" s="771">
        <v>1250</v>
      </c>
      <c r="H38" s="771"/>
      <c r="I38" s="771"/>
      <c r="J38" s="1"/>
      <c r="K38" s="1"/>
      <c r="L38" s="762"/>
      <c r="M38" s="762"/>
      <c r="N38" s="762"/>
      <c r="O38" s="1"/>
      <c r="P38" s="1"/>
      <c r="Q38" s="1"/>
      <c r="R38" s="826">
        <v>1</v>
      </c>
      <c r="S38" s="819">
        <v>0</v>
      </c>
      <c r="T38" s="819">
        <v>0</v>
      </c>
      <c r="U38" s="820">
        <v>1</v>
      </c>
      <c r="V38" s="821">
        <f>G38</f>
        <v>1250</v>
      </c>
      <c r="W38" s="821">
        <v>0</v>
      </c>
      <c r="X38" s="822">
        <v>0</v>
      </c>
      <c r="Y38" s="823">
        <f>V38</f>
        <v>1250</v>
      </c>
      <c r="Z38" s="797"/>
      <c r="AB38" s="832" t="s">
        <v>932</v>
      </c>
    </row>
    <row r="39" spans="1:28" ht="21.75" customHeight="1" x14ac:dyDescent="0.25">
      <c r="A39" s="710"/>
      <c r="B39" s="724" t="s">
        <v>933</v>
      </c>
      <c r="C39" s="724"/>
      <c r="D39" s="724"/>
      <c r="E39" s="724"/>
      <c r="F39" s="725"/>
      <c r="G39" s="833">
        <f>SUM(G19:G38)</f>
        <v>138995.20000000001</v>
      </c>
      <c r="H39" s="833"/>
      <c r="I39" s="833"/>
      <c r="J39" s="1"/>
      <c r="K39" s="1"/>
      <c r="L39" s="762"/>
      <c r="M39" s="762"/>
      <c r="N39" s="762"/>
      <c r="O39" s="1"/>
      <c r="P39" s="1"/>
      <c r="Q39" s="1"/>
      <c r="R39" s="826"/>
      <c r="S39" s="819"/>
      <c r="T39" s="819"/>
      <c r="U39" s="820"/>
      <c r="V39" s="821"/>
      <c r="W39" s="821"/>
      <c r="X39" s="822"/>
      <c r="Y39" s="823"/>
      <c r="Z39" s="834"/>
      <c r="AB39" s="835"/>
    </row>
    <row r="40" spans="1:28" ht="38.25" customHeight="1" x14ac:dyDescent="0.25">
      <c r="A40" s="836" t="s">
        <v>934</v>
      </c>
      <c r="B40" s="837"/>
      <c r="C40" s="837"/>
      <c r="D40" s="837"/>
      <c r="E40" s="837"/>
      <c r="F40" s="838"/>
      <c r="G40" s="839">
        <f>SUM(G39,G18)</f>
        <v>168430.54</v>
      </c>
      <c r="H40" s="839"/>
      <c r="I40" s="839"/>
      <c r="J40" s="840"/>
      <c r="K40" s="788"/>
      <c r="L40" s="762"/>
      <c r="M40" s="762"/>
      <c r="N40" s="762"/>
      <c r="O40" s="762"/>
      <c r="P40" s="841"/>
      <c r="Q40" s="762"/>
      <c r="R40" s="842"/>
      <c r="S40" s="843"/>
      <c r="T40" s="843"/>
      <c r="U40" s="844"/>
      <c r="V40" s="845"/>
      <c r="W40" s="845"/>
      <c r="X40" s="846"/>
      <c r="Y40" s="847"/>
    </row>
    <row r="41" spans="1:28" ht="19.5" customHeight="1" x14ac:dyDescent="0.25">
      <c r="A41" s="848" t="s">
        <v>935</v>
      </c>
      <c r="B41" s="849" t="s">
        <v>936</v>
      </c>
      <c r="C41" s="850"/>
      <c r="D41" s="850"/>
      <c r="E41" s="851">
        <v>710203</v>
      </c>
      <c r="F41" s="852" t="s">
        <v>84</v>
      </c>
      <c r="G41" s="853">
        <v>511</v>
      </c>
      <c r="H41" s="853"/>
      <c r="I41" s="853"/>
      <c r="J41" s="1"/>
      <c r="K41" s="854"/>
      <c r="L41" s="854"/>
      <c r="M41" s="854"/>
      <c r="N41" s="854"/>
      <c r="O41" s="854"/>
      <c r="P41" s="1"/>
      <c r="Q41" s="1"/>
      <c r="R41" s="855"/>
      <c r="S41" s="856"/>
      <c r="T41" s="856"/>
      <c r="U41" s="856"/>
      <c r="V41" s="857"/>
      <c r="W41" s="857"/>
      <c r="X41" s="857"/>
      <c r="Y41" s="858"/>
    </row>
    <row r="42" spans="1:28" ht="19.5" customHeight="1" x14ac:dyDescent="0.25">
      <c r="A42" s="848"/>
      <c r="B42" s="859"/>
      <c r="C42" s="860"/>
      <c r="D42" s="860"/>
      <c r="E42" s="851">
        <v>710204</v>
      </c>
      <c r="F42" s="852" t="s">
        <v>127</v>
      </c>
      <c r="G42" s="853">
        <v>425</v>
      </c>
      <c r="H42" s="853"/>
      <c r="I42" s="853"/>
      <c r="J42" s="1"/>
      <c r="K42" s="854"/>
      <c r="L42" s="854"/>
      <c r="M42" s="854"/>
      <c r="N42" s="854"/>
      <c r="O42" s="854"/>
      <c r="P42" s="1"/>
      <c r="Q42" s="1"/>
      <c r="R42" s="855"/>
      <c r="S42" s="856"/>
      <c r="T42" s="856"/>
      <c r="U42" s="856"/>
      <c r="V42" s="857"/>
      <c r="W42" s="857"/>
      <c r="X42" s="857"/>
      <c r="Y42" s="858"/>
    </row>
    <row r="43" spans="1:28" ht="19.5" customHeight="1" x14ac:dyDescent="0.25">
      <c r="A43" s="848"/>
      <c r="B43" s="859"/>
      <c r="C43" s="860"/>
      <c r="D43" s="860"/>
      <c r="E43" s="851">
        <v>710601</v>
      </c>
      <c r="F43" s="852" t="s">
        <v>86</v>
      </c>
      <c r="G43" s="853">
        <v>714.38</v>
      </c>
      <c r="H43" s="853"/>
      <c r="I43" s="853"/>
      <c r="J43" s="1"/>
      <c r="K43" s="854"/>
      <c r="L43" s="854"/>
      <c r="M43" s="854"/>
      <c r="N43" s="854"/>
      <c r="O43" s="854"/>
      <c r="P43" s="1"/>
      <c r="Q43" s="1"/>
      <c r="R43" s="855"/>
      <c r="S43" s="856"/>
      <c r="T43" s="856"/>
      <c r="U43" s="856"/>
      <c r="V43" s="857"/>
      <c r="W43" s="857"/>
      <c r="X43" s="857"/>
      <c r="Y43" s="858"/>
    </row>
    <row r="44" spans="1:28" ht="19.5" customHeight="1" x14ac:dyDescent="0.25">
      <c r="A44" s="848"/>
      <c r="B44" s="859"/>
      <c r="C44" s="860"/>
      <c r="D44" s="860"/>
      <c r="E44" s="851">
        <v>710602</v>
      </c>
      <c r="F44" s="852" t="s">
        <v>87</v>
      </c>
      <c r="G44" s="853">
        <v>511</v>
      </c>
      <c r="H44" s="853"/>
      <c r="I44" s="853"/>
      <c r="J44" s="1"/>
      <c r="K44" s="854"/>
      <c r="L44" s="854"/>
      <c r="M44" s="854"/>
      <c r="N44" s="854"/>
      <c r="O44" s="854"/>
      <c r="P44" s="1"/>
      <c r="Q44" s="1"/>
      <c r="R44" s="855"/>
      <c r="S44" s="856"/>
      <c r="T44" s="856"/>
      <c r="U44" s="856"/>
      <c r="V44" s="857"/>
      <c r="W44" s="857"/>
      <c r="X44" s="857"/>
      <c r="Y44" s="858"/>
    </row>
    <row r="45" spans="1:28" ht="19.5" customHeight="1" x14ac:dyDescent="0.25">
      <c r="A45" s="848"/>
      <c r="B45" s="859"/>
      <c r="C45" s="860"/>
      <c r="D45" s="860"/>
      <c r="E45" s="851" t="s">
        <v>884</v>
      </c>
      <c r="F45" s="852" t="s">
        <v>20</v>
      </c>
      <c r="G45" s="853">
        <v>6132</v>
      </c>
      <c r="H45" s="853"/>
      <c r="I45" s="853"/>
      <c r="J45" s="1"/>
      <c r="K45" s="854"/>
      <c r="L45" s="854"/>
      <c r="M45" s="854"/>
      <c r="N45" s="854"/>
      <c r="O45" s="854"/>
      <c r="P45" s="1"/>
      <c r="Q45" s="1"/>
      <c r="R45" s="855"/>
      <c r="S45" s="856"/>
      <c r="T45" s="856"/>
      <c r="U45" s="856"/>
      <c r="V45" s="857"/>
      <c r="W45" s="857"/>
      <c r="X45" s="857"/>
      <c r="Y45" s="858"/>
    </row>
    <row r="46" spans="1:28" ht="19.5" customHeight="1" x14ac:dyDescent="0.25">
      <c r="A46" s="848"/>
      <c r="B46" s="859"/>
      <c r="C46" s="860"/>
      <c r="D46" s="860"/>
      <c r="E46" s="851" t="s">
        <v>937</v>
      </c>
      <c r="F46" s="852" t="s">
        <v>938</v>
      </c>
      <c r="G46" s="853">
        <v>500</v>
      </c>
      <c r="H46" s="853"/>
      <c r="I46" s="853"/>
      <c r="J46" s="1"/>
      <c r="K46" s="854"/>
      <c r="L46" s="854"/>
      <c r="M46" s="854"/>
      <c r="N46" s="854"/>
      <c r="O46" s="854"/>
      <c r="P46" s="1"/>
      <c r="Q46" s="1"/>
      <c r="R46" s="855">
        <v>1</v>
      </c>
      <c r="S46" s="856">
        <v>0</v>
      </c>
      <c r="T46" s="856">
        <v>0</v>
      </c>
      <c r="U46" s="856">
        <v>1</v>
      </c>
      <c r="V46" s="857">
        <v>100</v>
      </c>
      <c r="W46" s="857">
        <v>0</v>
      </c>
      <c r="X46" s="857">
        <v>0</v>
      </c>
      <c r="Y46" s="858">
        <f>G46</f>
        <v>500</v>
      </c>
    </row>
    <row r="47" spans="1:28" ht="19.5" customHeight="1" x14ac:dyDescent="0.25">
      <c r="A47" s="848"/>
      <c r="B47" s="861"/>
      <c r="C47" s="862"/>
      <c r="D47" s="862"/>
      <c r="E47" s="851">
        <v>210730205.21200001</v>
      </c>
      <c r="F47" s="852" t="s">
        <v>939</v>
      </c>
      <c r="G47" s="853">
        <v>500</v>
      </c>
      <c r="H47" s="853">
        <v>-500</v>
      </c>
      <c r="I47" s="853">
        <f>+G47+H47</f>
        <v>0</v>
      </c>
      <c r="J47" s="1"/>
      <c r="K47" s="854"/>
      <c r="L47" s="854"/>
      <c r="M47" s="854"/>
      <c r="N47" s="854"/>
      <c r="O47" s="854"/>
      <c r="P47" s="1"/>
      <c r="Q47" s="1"/>
      <c r="R47" s="855">
        <v>0.5</v>
      </c>
      <c r="S47" s="856">
        <v>0</v>
      </c>
      <c r="T47" s="856">
        <v>0.5</v>
      </c>
      <c r="U47" s="856">
        <v>1</v>
      </c>
      <c r="V47" s="857">
        <v>250</v>
      </c>
      <c r="W47" s="857">
        <v>0</v>
      </c>
      <c r="X47" s="857">
        <v>250</v>
      </c>
      <c r="Y47" s="858">
        <f>G47</f>
        <v>500</v>
      </c>
    </row>
    <row r="48" spans="1:28" ht="37.5" customHeight="1" thickBot="1" x14ac:dyDescent="0.3">
      <c r="A48" s="836" t="s">
        <v>940</v>
      </c>
      <c r="B48" s="837"/>
      <c r="C48" s="837"/>
      <c r="D48" s="837"/>
      <c r="E48" s="837"/>
      <c r="F48" s="838"/>
      <c r="G48" s="863">
        <f>SUM(G41:G47)</f>
        <v>9293.380000000001</v>
      </c>
      <c r="H48" s="863"/>
      <c r="I48" s="863"/>
      <c r="J48" s="840"/>
      <c r="K48" s="788"/>
      <c r="L48" s="762"/>
      <c r="M48" s="762"/>
      <c r="N48" s="762"/>
      <c r="O48" s="762"/>
      <c r="P48" s="1"/>
      <c r="Q48" s="1"/>
      <c r="R48" s="864"/>
      <c r="S48" s="865"/>
      <c r="T48" s="865"/>
      <c r="U48" s="866"/>
      <c r="V48" s="867"/>
      <c r="W48" s="867"/>
      <c r="X48" s="868"/>
      <c r="Y48" s="869"/>
    </row>
    <row r="49" spans="1:26" ht="24" customHeight="1" x14ac:dyDescent="0.25">
      <c r="A49" s="870" t="s">
        <v>941</v>
      </c>
      <c r="B49" s="871" t="s">
        <v>942</v>
      </c>
      <c r="C49" s="872" t="s">
        <v>943</v>
      </c>
      <c r="D49" s="873"/>
      <c r="E49" s="874" t="s">
        <v>944</v>
      </c>
      <c r="F49" s="875" t="s">
        <v>945</v>
      </c>
      <c r="G49" s="876">
        <v>88500</v>
      </c>
      <c r="H49" s="876"/>
      <c r="I49" s="876"/>
      <c r="J49" s="1"/>
      <c r="K49" s="1"/>
      <c r="L49" s="877"/>
      <c r="M49" s="877"/>
      <c r="N49" s="877"/>
      <c r="O49" s="877"/>
      <c r="P49" s="1"/>
      <c r="Q49" s="1"/>
      <c r="R49" s="878">
        <v>0</v>
      </c>
      <c r="S49" s="879">
        <v>0.5</v>
      </c>
      <c r="T49" s="879">
        <v>0.5</v>
      </c>
      <c r="U49" s="879">
        <v>1</v>
      </c>
      <c r="V49" s="880">
        <v>0</v>
      </c>
      <c r="W49" s="880">
        <v>0</v>
      </c>
      <c r="X49" s="881">
        <v>15000</v>
      </c>
      <c r="Y49" s="882">
        <v>15000</v>
      </c>
      <c r="Z49" s="883"/>
    </row>
    <row r="50" spans="1:26" ht="24" customHeight="1" x14ac:dyDescent="0.25">
      <c r="A50" s="884"/>
      <c r="B50" s="885"/>
      <c r="C50" s="886"/>
      <c r="D50" s="887"/>
      <c r="E50" s="888" t="s">
        <v>946</v>
      </c>
      <c r="F50" s="875" t="s">
        <v>947</v>
      </c>
      <c r="G50" s="889">
        <v>5000</v>
      </c>
      <c r="H50" s="889"/>
      <c r="I50" s="889"/>
      <c r="J50" s="1"/>
      <c r="K50" s="1"/>
      <c r="L50" s="877"/>
      <c r="M50" s="877"/>
      <c r="N50" s="877"/>
      <c r="O50" s="877"/>
      <c r="P50" s="1"/>
      <c r="Q50" s="1"/>
      <c r="R50" s="890">
        <v>0</v>
      </c>
      <c r="S50" s="891">
        <v>0.5</v>
      </c>
      <c r="T50" s="891">
        <v>0.5</v>
      </c>
      <c r="U50" s="891">
        <v>1</v>
      </c>
      <c r="V50" s="892">
        <v>0</v>
      </c>
      <c r="W50" s="893" t="e">
        <f>#REF!/2</f>
        <v>#REF!</v>
      </c>
      <c r="X50" s="893" t="e">
        <f>#REF!/2</f>
        <v>#REF!</v>
      </c>
      <c r="Y50" s="894" t="e">
        <f>SUM(W50:X50)</f>
        <v>#REF!</v>
      </c>
      <c r="Z50" s="883"/>
    </row>
    <row r="51" spans="1:26" ht="24" customHeight="1" x14ac:dyDescent="0.25">
      <c r="A51" s="884"/>
      <c r="B51" s="885"/>
      <c r="C51" s="895"/>
      <c r="D51" s="887"/>
      <c r="E51" s="896" t="s">
        <v>948</v>
      </c>
      <c r="F51" s="897" t="s">
        <v>949</v>
      </c>
      <c r="G51" s="898">
        <v>2000</v>
      </c>
      <c r="H51" s="898"/>
      <c r="I51" s="898"/>
      <c r="J51" s="1"/>
      <c r="K51" s="1"/>
      <c r="L51" s="877"/>
      <c r="M51" s="877"/>
      <c r="N51" s="877"/>
      <c r="O51" s="877"/>
      <c r="P51" s="1"/>
      <c r="Q51" s="1"/>
      <c r="R51" s="890">
        <v>0</v>
      </c>
      <c r="S51" s="891">
        <v>0</v>
      </c>
      <c r="T51" s="891">
        <v>1</v>
      </c>
      <c r="U51" s="891">
        <v>1</v>
      </c>
      <c r="V51" s="892">
        <v>0</v>
      </c>
      <c r="W51" s="892">
        <v>0</v>
      </c>
      <c r="X51" s="892">
        <f>G51</f>
        <v>2000</v>
      </c>
      <c r="Y51" s="894">
        <f>X51</f>
        <v>2000</v>
      </c>
      <c r="Z51" s="883"/>
    </row>
    <row r="52" spans="1:26" ht="24" customHeight="1" x14ac:dyDescent="0.25">
      <c r="A52" s="884"/>
      <c r="B52" s="885"/>
      <c r="C52" s="899" t="s">
        <v>950</v>
      </c>
      <c r="D52" s="887"/>
      <c r="E52" s="874" t="s">
        <v>951</v>
      </c>
      <c r="F52" s="900" t="s">
        <v>952</v>
      </c>
      <c r="G52" s="901">
        <v>17156.27</v>
      </c>
      <c r="H52" s="901"/>
      <c r="I52" s="901"/>
      <c r="J52" s="1"/>
      <c r="K52" s="1"/>
      <c r="L52" s="854"/>
      <c r="M52" s="854"/>
      <c r="N52" s="854"/>
      <c r="O52" s="854"/>
      <c r="P52" s="1"/>
      <c r="Q52" s="1"/>
      <c r="R52" s="902"/>
      <c r="S52" s="903"/>
      <c r="T52" s="903"/>
      <c r="U52" s="903"/>
      <c r="V52" s="904"/>
      <c r="W52" s="904"/>
      <c r="X52" s="904"/>
      <c r="Y52" s="905"/>
      <c r="Z52" s="883"/>
    </row>
    <row r="53" spans="1:26" ht="24" customHeight="1" thickBot="1" x14ac:dyDescent="0.3">
      <c r="A53" s="884"/>
      <c r="B53" s="906"/>
      <c r="C53" s="907"/>
      <c r="D53" s="908"/>
      <c r="E53" s="888" t="s">
        <v>953</v>
      </c>
      <c r="F53" s="875" t="s">
        <v>954</v>
      </c>
      <c r="G53" s="909">
        <v>100</v>
      </c>
      <c r="H53" s="909"/>
      <c r="I53" s="909"/>
      <c r="J53" s="1"/>
      <c r="K53" s="1"/>
      <c r="L53" s="854"/>
      <c r="M53" s="854"/>
      <c r="N53" s="854"/>
      <c r="O53" s="854"/>
      <c r="P53" s="1"/>
      <c r="Q53" s="1"/>
      <c r="R53" s="910">
        <v>0</v>
      </c>
      <c r="S53" s="911">
        <v>0</v>
      </c>
      <c r="T53" s="911">
        <v>1</v>
      </c>
      <c r="U53" s="911">
        <v>1</v>
      </c>
      <c r="V53" s="912">
        <v>0</v>
      </c>
      <c r="W53" s="913">
        <v>0</v>
      </c>
      <c r="X53" s="912">
        <f>G53</f>
        <v>100</v>
      </c>
      <c r="Y53" s="914">
        <f>X53</f>
        <v>100</v>
      </c>
      <c r="Z53" s="883"/>
    </row>
    <row r="54" spans="1:26" ht="24" customHeight="1" x14ac:dyDescent="0.25">
      <c r="A54" s="884"/>
      <c r="B54" s="871" t="s">
        <v>955</v>
      </c>
      <c r="C54" s="915"/>
      <c r="D54" s="873"/>
      <c r="E54" s="916">
        <v>750501.00100000005</v>
      </c>
      <c r="F54" s="917" t="s">
        <v>956</v>
      </c>
      <c r="G54" s="918">
        <v>4000</v>
      </c>
      <c r="H54" s="918"/>
      <c r="I54" s="918"/>
      <c r="J54" s="1"/>
      <c r="K54" s="854"/>
      <c r="L54" s="854"/>
      <c r="M54" s="854"/>
      <c r="N54" s="854"/>
      <c r="O54" s="854"/>
      <c r="P54" s="1"/>
      <c r="Q54" s="1"/>
      <c r="R54" s="919">
        <v>0</v>
      </c>
      <c r="S54" s="920">
        <v>0.5</v>
      </c>
      <c r="T54" s="920">
        <v>0.5</v>
      </c>
      <c r="U54" s="920">
        <v>1</v>
      </c>
      <c r="V54" s="921">
        <v>0</v>
      </c>
      <c r="W54" s="921">
        <f>G80*T54</f>
        <v>400</v>
      </c>
      <c r="X54" s="921">
        <f>G80*T54</f>
        <v>400</v>
      </c>
      <c r="Y54" s="922">
        <f>SUM(W54:X54)</f>
        <v>800</v>
      </c>
      <c r="Z54" s="923">
        <f>SUM(G54:G58)</f>
        <v>31000</v>
      </c>
    </row>
    <row r="55" spans="1:26" ht="42.75" customHeight="1" x14ac:dyDescent="0.25">
      <c r="A55" s="884"/>
      <c r="B55" s="885"/>
      <c r="C55" s="875" t="s">
        <v>957</v>
      </c>
      <c r="D55" s="887"/>
      <c r="E55" s="874" t="s">
        <v>948</v>
      </c>
      <c r="F55" s="875" t="s">
        <v>949</v>
      </c>
      <c r="G55" s="876">
        <v>17000</v>
      </c>
      <c r="H55" s="876"/>
      <c r="I55" s="876"/>
      <c r="J55" s="1"/>
      <c r="K55" s="1"/>
      <c r="L55" s="854"/>
      <c r="M55" s="854"/>
      <c r="N55" s="854"/>
      <c r="O55" s="854"/>
      <c r="P55" s="1"/>
      <c r="Q55" s="1"/>
      <c r="R55" s="924">
        <v>0</v>
      </c>
      <c r="S55" s="925">
        <v>1</v>
      </c>
      <c r="T55" s="925">
        <v>0</v>
      </c>
      <c r="U55" s="925">
        <v>1</v>
      </c>
      <c r="V55" s="926">
        <v>0</v>
      </c>
      <c r="W55" s="926">
        <f>G55</f>
        <v>17000</v>
      </c>
      <c r="X55" s="926">
        <v>0</v>
      </c>
      <c r="Y55" s="927">
        <f>W55</f>
        <v>17000</v>
      </c>
      <c r="Z55" s="883"/>
    </row>
    <row r="56" spans="1:26" ht="18" customHeight="1" x14ac:dyDescent="0.25">
      <c r="A56" s="884"/>
      <c r="B56" s="885"/>
      <c r="C56" s="899" t="s">
        <v>958</v>
      </c>
      <c r="D56" s="887"/>
      <c r="E56" s="928" t="s">
        <v>959</v>
      </c>
      <c r="F56" s="897" t="s">
        <v>28</v>
      </c>
      <c r="G56" s="898">
        <v>4000</v>
      </c>
      <c r="H56" s="898"/>
      <c r="I56" s="898"/>
      <c r="J56" s="1"/>
      <c r="K56" s="1"/>
      <c r="L56" s="854"/>
      <c r="M56" s="854"/>
      <c r="N56" s="854"/>
      <c r="O56" s="854"/>
      <c r="P56" s="1"/>
      <c r="Q56" s="1"/>
      <c r="R56" s="929">
        <v>0</v>
      </c>
      <c r="S56" s="930">
        <v>1</v>
      </c>
      <c r="T56" s="930">
        <v>0</v>
      </c>
      <c r="U56" s="930">
        <v>1</v>
      </c>
      <c r="V56" s="931">
        <v>0</v>
      </c>
      <c r="W56" s="931">
        <f>G56</f>
        <v>4000</v>
      </c>
      <c r="X56" s="931">
        <v>0</v>
      </c>
      <c r="Y56" s="932">
        <f>W56</f>
        <v>4000</v>
      </c>
      <c r="Z56" s="883"/>
    </row>
    <row r="57" spans="1:26" ht="18" customHeight="1" x14ac:dyDescent="0.25">
      <c r="A57" s="884"/>
      <c r="B57" s="885"/>
      <c r="C57" s="895"/>
      <c r="D57" s="887"/>
      <c r="E57" s="928" t="s">
        <v>960</v>
      </c>
      <c r="F57" s="897" t="s">
        <v>961</v>
      </c>
      <c r="G57" s="898">
        <v>1000</v>
      </c>
      <c r="H57" s="898"/>
      <c r="I57" s="898"/>
      <c r="J57" s="1"/>
      <c r="K57" s="1"/>
      <c r="L57" s="854"/>
      <c r="M57" s="854"/>
      <c r="N57" s="854"/>
      <c r="O57" s="854"/>
      <c r="P57" s="1"/>
      <c r="Q57" s="1"/>
      <c r="R57" s="929"/>
      <c r="S57" s="930"/>
      <c r="T57" s="930"/>
      <c r="U57" s="930"/>
      <c r="V57" s="931"/>
      <c r="W57" s="931"/>
      <c r="X57" s="931"/>
      <c r="Y57" s="932"/>
      <c r="Z57" s="883"/>
    </row>
    <row r="58" spans="1:26" ht="18" customHeight="1" thickBot="1" x14ac:dyDescent="0.3">
      <c r="A58" s="884"/>
      <c r="B58" s="906"/>
      <c r="C58" s="933" t="s">
        <v>962</v>
      </c>
      <c r="D58" s="908"/>
      <c r="E58" s="934" t="s">
        <v>963</v>
      </c>
      <c r="F58" s="935" t="s">
        <v>964</v>
      </c>
      <c r="G58" s="936">
        <v>5000</v>
      </c>
      <c r="H58" s="937"/>
      <c r="I58" s="937"/>
      <c r="J58" s="1"/>
      <c r="K58" s="1"/>
      <c r="L58" s="854"/>
      <c r="M58" s="854"/>
      <c r="N58" s="854"/>
      <c r="O58" s="854"/>
      <c r="P58" s="1"/>
      <c r="Q58" s="1"/>
      <c r="R58" s="938">
        <v>0.3</v>
      </c>
      <c r="S58" s="939">
        <v>0.3</v>
      </c>
      <c r="T58" s="939">
        <v>0.4</v>
      </c>
      <c r="U58" s="939">
        <v>1</v>
      </c>
      <c r="V58" s="940">
        <v>2700</v>
      </c>
      <c r="W58" s="941">
        <v>2700</v>
      </c>
      <c r="X58" s="941">
        <v>3600</v>
      </c>
      <c r="Y58" s="942">
        <v>9000</v>
      </c>
      <c r="Z58" s="883"/>
    </row>
    <row r="59" spans="1:26" ht="18" customHeight="1" x14ac:dyDescent="0.25">
      <c r="A59" s="884"/>
      <c r="B59" s="943" t="s">
        <v>965</v>
      </c>
      <c r="C59" s="944" t="s">
        <v>550</v>
      </c>
      <c r="D59" s="873"/>
      <c r="E59" s="945">
        <v>710105</v>
      </c>
      <c r="F59" s="946" t="s">
        <v>125</v>
      </c>
      <c r="G59" s="947">
        <v>13032</v>
      </c>
      <c r="H59" s="898"/>
      <c r="I59" s="898"/>
      <c r="J59" s="1"/>
      <c r="K59" s="854"/>
      <c r="L59" s="854"/>
      <c r="M59" s="854"/>
      <c r="N59" s="854"/>
      <c r="O59" s="854"/>
      <c r="P59" s="1"/>
      <c r="Q59" s="1"/>
      <c r="R59" s="948"/>
      <c r="S59" s="949"/>
      <c r="T59" s="949"/>
      <c r="U59" s="949"/>
      <c r="V59" s="950"/>
      <c r="W59" s="950"/>
      <c r="X59" s="950"/>
      <c r="Y59" s="951"/>
      <c r="Z59" s="923">
        <f>SUM(G59:G71)</f>
        <v>76845.2</v>
      </c>
    </row>
    <row r="60" spans="1:26" ht="18" customHeight="1" x14ac:dyDescent="0.25">
      <c r="A60" s="884"/>
      <c r="B60" s="952"/>
      <c r="C60" s="887"/>
      <c r="D60" s="887"/>
      <c r="E60" s="874">
        <v>710203</v>
      </c>
      <c r="F60" s="875" t="s">
        <v>84</v>
      </c>
      <c r="G60" s="876">
        <v>1652.5</v>
      </c>
      <c r="H60" s="876"/>
      <c r="I60" s="876"/>
      <c r="J60" s="1"/>
      <c r="K60" s="854"/>
      <c r="L60" s="854"/>
      <c r="M60" s="854"/>
      <c r="N60" s="854"/>
      <c r="O60" s="854"/>
      <c r="P60" s="1"/>
      <c r="Q60" s="1"/>
      <c r="R60" s="953"/>
      <c r="S60" s="954"/>
      <c r="T60" s="954"/>
      <c r="U60" s="954"/>
      <c r="V60" s="955"/>
      <c r="W60" s="955"/>
      <c r="X60" s="955"/>
      <c r="Y60" s="956"/>
      <c r="Z60" s="883"/>
    </row>
    <row r="61" spans="1:26" ht="18" customHeight="1" x14ac:dyDescent="0.25">
      <c r="A61" s="884"/>
      <c r="B61" s="952"/>
      <c r="C61" s="887"/>
      <c r="D61" s="887"/>
      <c r="E61" s="874">
        <v>710204</v>
      </c>
      <c r="F61" s="875" t="s">
        <v>127</v>
      </c>
      <c r="G61" s="876">
        <v>850</v>
      </c>
      <c r="H61" s="876"/>
      <c r="I61" s="876"/>
      <c r="J61" s="1"/>
      <c r="K61" s="854"/>
      <c r="L61" s="854"/>
      <c r="M61" s="854"/>
      <c r="N61" s="854"/>
      <c r="O61" s="854"/>
      <c r="P61" s="1"/>
      <c r="Q61" s="1"/>
      <c r="R61" s="953"/>
      <c r="S61" s="954"/>
      <c r="T61" s="954"/>
      <c r="U61" s="954"/>
      <c r="V61" s="955"/>
      <c r="W61" s="955"/>
      <c r="X61" s="955"/>
      <c r="Y61" s="956"/>
      <c r="Z61" s="883"/>
    </row>
    <row r="62" spans="1:26" ht="18" customHeight="1" x14ac:dyDescent="0.25">
      <c r="A62" s="884"/>
      <c r="B62" s="952"/>
      <c r="C62" s="887"/>
      <c r="D62" s="887"/>
      <c r="E62" s="874">
        <v>710601</v>
      </c>
      <c r="F62" s="875" t="s">
        <v>86</v>
      </c>
      <c r="G62" s="876">
        <v>2310.1999999999998</v>
      </c>
      <c r="H62" s="876"/>
      <c r="I62" s="876"/>
      <c r="J62" s="1"/>
      <c r="K62" s="854"/>
      <c r="L62" s="854"/>
      <c r="M62" s="854"/>
      <c r="N62" s="854"/>
      <c r="O62" s="854"/>
      <c r="P62" s="1"/>
      <c r="Q62" s="1"/>
      <c r="R62" s="953"/>
      <c r="S62" s="954"/>
      <c r="T62" s="954"/>
      <c r="U62" s="954"/>
      <c r="V62" s="955"/>
      <c r="W62" s="955"/>
      <c r="X62" s="955"/>
      <c r="Y62" s="956"/>
      <c r="Z62" s="883"/>
    </row>
    <row r="63" spans="1:26" ht="18" customHeight="1" x14ac:dyDescent="0.25">
      <c r="A63" s="884"/>
      <c r="B63" s="952"/>
      <c r="C63" s="887"/>
      <c r="D63" s="887"/>
      <c r="E63" s="874">
        <v>710602</v>
      </c>
      <c r="F63" s="875" t="s">
        <v>87</v>
      </c>
      <c r="G63" s="876">
        <v>1652.5</v>
      </c>
      <c r="H63" s="876"/>
      <c r="I63" s="876"/>
      <c r="J63" s="1"/>
      <c r="K63" s="854"/>
      <c r="L63" s="854"/>
      <c r="M63" s="854"/>
      <c r="N63" s="854"/>
      <c r="O63" s="854"/>
      <c r="P63" s="1"/>
      <c r="Q63" s="1"/>
      <c r="R63" s="953"/>
      <c r="S63" s="954"/>
      <c r="T63" s="954"/>
      <c r="U63" s="954"/>
      <c r="V63" s="955"/>
      <c r="W63" s="955"/>
      <c r="X63" s="955"/>
      <c r="Y63" s="956"/>
      <c r="Z63" s="883"/>
    </row>
    <row r="64" spans="1:26" ht="18" customHeight="1" x14ac:dyDescent="0.25">
      <c r="A64" s="884"/>
      <c r="B64" s="952"/>
      <c r="C64" s="908"/>
      <c r="D64" s="887"/>
      <c r="E64" s="874" t="s">
        <v>966</v>
      </c>
      <c r="F64" s="875" t="s">
        <v>20</v>
      </c>
      <c r="G64" s="876">
        <v>6798</v>
      </c>
      <c r="H64" s="876"/>
      <c r="I64" s="876"/>
      <c r="J64" s="1"/>
      <c r="K64" s="854"/>
      <c r="L64" s="854"/>
      <c r="M64" s="854"/>
      <c r="N64" s="854"/>
      <c r="O64" s="854"/>
      <c r="P64" s="1"/>
      <c r="Q64" s="1"/>
      <c r="R64" s="953"/>
      <c r="S64" s="954"/>
      <c r="T64" s="954"/>
      <c r="U64" s="954"/>
      <c r="V64" s="955"/>
      <c r="W64" s="955"/>
      <c r="X64" s="955"/>
      <c r="Y64" s="956"/>
      <c r="Z64" s="883"/>
    </row>
    <row r="65" spans="1:26" ht="18" customHeight="1" x14ac:dyDescent="0.25">
      <c r="A65" s="884"/>
      <c r="B65" s="952"/>
      <c r="C65" s="875" t="s">
        <v>967</v>
      </c>
      <c r="D65" s="887"/>
      <c r="E65" s="888" t="s">
        <v>968</v>
      </c>
      <c r="F65" s="875" t="s">
        <v>462</v>
      </c>
      <c r="G65" s="876">
        <v>12000</v>
      </c>
      <c r="H65" s="876"/>
      <c r="I65" s="876"/>
      <c r="J65" s="1"/>
      <c r="K65" s="1"/>
      <c r="L65" s="854"/>
      <c r="M65" s="854"/>
      <c r="N65" s="854"/>
      <c r="O65" s="854"/>
      <c r="P65" s="1"/>
      <c r="Q65" s="1"/>
      <c r="R65" s="953">
        <v>1</v>
      </c>
      <c r="S65" s="954">
        <v>0</v>
      </c>
      <c r="T65" s="954">
        <v>0</v>
      </c>
      <c r="U65" s="954">
        <v>1</v>
      </c>
      <c r="V65" s="955">
        <f>G65</f>
        <v>12000</v>
      </c>
      <c r="W65" s="955">
        <v>0</v>
      </c>
      <c r="X65" s="955">
        <v>0</v>
      </c>
      <c r="Y65" s="956">
        <f>G65</f>
        <v>12000</v>
      </c>
      <c r="Z65" s="883"/>
    </row>
    <row r="66" spans="1:26" ht="18" customHeight="1" x14ac:dyDescent="0.25">
      <c r="A66" s="884"/>
      <c r="B66" s="952"/>
      <c r="C66" s="899" t="s">
        <v>969</v>
      </c>
      <c r="D66" s="887"/>
      <c r="E66" s="888" t="s">
        <v>970</v>
      </c>
      <c r="F66" s="875" t="s">
        <v>971</v>
      </c>
      <c r="G66" s="876">
        <v>750</v>
      </c>
      <c r="H66" s="876"/>
      <c r="I66" s="876"/>
      <c r="J66" s="1"/>
      <c r="K66" s="1"/>
      <c r="L66" s="877"/>
      <c r="M66" s="877"/>
      <c r="N66" s="877"/>
      <c r="O66" s="877"/>
      <c r="P66" s="1"/>
      <c r="Q66" s="1"/>
      <c r="R66" s="953">
        <v>0</v>
      </c>
      <c r="S66" s="954">
        <v>0</v>
      </c>
      <c r="T66" s="954">
        <v>1</v>
      </c>
      <c r="U66" s="954">
        <v>1</v>
      </c>
      <c r="V66" s="955">
        <v>0</v>
      </c>
      <c r="W66" s="955">
        <v>0</v>
      </c>
      <c r="X66" s="955">
        <f>G66</f>
        <v>750</v>
      </c>
      <c r="Y66" s="956">
        <f>G66</f>
        <v>750</v>
      </c>
      <c r="Z66" s="883"/>
    </row>
    <row r="67" spans="1:26" ht="18" customHeight="1" x14ac:dyDescent="0.25">
      <c r="A67" s="884"/>
      <c r="B67" s="952"/>
      <c r="C67" s="886"/>
      <c r="D67" s="887"/>
      <c r="E67" s="888" t="s">
        <v>963</v>
      </c>
      <c r="F67" s="875" t="s">
        <v>964</v>
      </c>
      <c r="G67" s="876">
        <f>1600+1800</f>
        <v>3400</v>
      </c>
      <c r="H67" s="876"/>
      <c r="I67" s="876"/>
      <c r="J67" s="1"/>
      <c r="K67" s="1"/>
      <c r="L67" s="877"/>
      <c r="M67" s="877"/>
      <c r="N67" s="877"/>
      <c r="O67" s="877"/>
      <c r="P67" s="1"/>
      <c r="Q67" s="1"/>
      <c r="R67" s="953">
        <v>0</v>
      </c>
      <c r="S67" s="954">
        <v>0</v>
      </c>
      <c r="T67" s="954">
        <v>1</v>
      </c>
      <c r="U67" s="954">
        <v>1</v>
      </c>
      <c r="V67" s="955">
        <v>0</v>
      </c>
      <c r="W67" s="955">
        <v>0</v>
      </c>
      <c r="X67" s="955">
        <v>1600</v>
      </c>
      <c r="Y67" s="956">
        <v>1600</v>
      </c>
      <c r="Z67" s="883"/>
    </row>
    <row r="68" spans="1:26" ht="38.25" customHeight="1" x14ac:dyDescent="0.25">
      <c r="A68" s="884"/>
      <c r="B68" s="952"/>
      <c r="C68" s="895"/>
      <c r="D68" s="887"/>
      <c r="E68" s="888" t="s">
        <v>972</v>
      </c>
      <c r="F68" s="875" t="s">
        <v>973</v>
      </c>
      <c r="G68" s="876">
        <v>900</v>
      </c>
      <c r="H68" s="876"/>
      <c r="I68" s="876"/>
      <c r="J68" s="1"/>
      <c r="K68" s="1"/>
      <c r="L68" s="877"/>
      <c r="M68" s="877"/>
      <c r="N68" s="877"/>
      <c r="O68" s="877"/>
      <c r="P68" s="1"/>
      <c r="Q68" s="1"/>
      <c r="R68" s="953">
        <v>0</v>
      </c>
      <c r="S68" s="954">
        <v>0</v>
      </c>
      <c r="T68" s="954">
        <v>1</v>
      </c>
      <c r="U68" s="954">
        <v>1</v>
      </c>
      <c r="V68" s="955">
        <v>0</v>
      </c>
      <c r="W68" s="955">
        <v>0</v>
      </c>
      <c r="X68" s="955">
        <v>900</v>
      </c>
      <c r="Y68" s="956">
        <v>900</v>
      </c>
      <c r="Z68" s="883"/>
    </row>
    <row r="69" spans="1:26" ht="18.75" customHeight="1" x14ac:dyDescent="0.25">
      <c r="A69" s="884"/>
      <c r="B69" s="952"/>
      <c r="C69" s="957" t="s">
        <v>974</v>
      </c>
      <c r="D69" s="887"/>
      <c r="E69" s="888" t="s">
        <v>975</v>
      </c>
      <c r="F69" s="875" t="s">
        <v>896</v>
      </c>
      <c r="G69" s="876">
        <f>1500</f>
        <v>1500</v>
      </c>
      <c r="H69" s="876">
        <v>-1500</v>
      </c>
      <c r="I69" s="876">
        <f>+G69+H69</f>
        <v>0</v>
      </c>
      <c r="J69" s="1"/>
      <c r="K69" s="1"/>
      <c r="L69" s="854"/>
      <c r="M69" s="854"/>
      <c r="N69" s="854"/>
      <c r="O69" s="854"/>
      <c r="P69" s="1"/>
      <c r="Q69" s="1"/>
      <c r="R69" s="953">
        <v>0</v>
      </c>
      <c r="S69" s="954">
        <v>1</v>
      </c>
      <c r="T69" s="954">
        <v>0</v>
      </c>
      <c r="U69" s="954">
        <v>1</v>
      </c>
      <c r="V69" s="955">
        <v>0</v>
      </c>
      <c r="W69" s="955">
        <f>G69</f>
        <v>1500</v>
      </c>
      <c r="X69" s="955">
        <v>0</v>
      </c>
      <c r="Y69" s="956">
        <f>G69</f>
        <v>1500</v>
      </c>
      <c r="Z69" s="883"/>
    </row>
    <row r="70" spans="1:26" ht="18.75" customHeight="1" x14ac:dyDescent="0.25">
      <c r="A70" s="884"/>
      <c r="B70" s="952"/>
      <c r="C70" s="957" t="s">
        <v>976</v>
      </c>
      <c r="D70" s="887"/>
      <c r="E70" s="888" t="s">
        <v>977</v>
      </c>
      <c r="F70" s="875" t="s">
        <v>896</v>
      </c>
      <c r="G70" s="876">
        <v>6000</v>
      </c>
      <c r="H70" s="876"/>
      <c r="I70" s="876">
        <f t="shared" ref="I70:I71" si="2">+G70+H70</f>
        <v>6000</v>
      </c>
      <c r="J70" s="1"/>
      <c r="K70" s="1"/>
      <c r="L70" s="854"/>
      <c r="M70" s="854"/>
      <c r="N70" s="854"/>
      <c r="O70" s="854"/>
      <c r="P70" s="1"/>
      <c r="Q70" s="1"/>
      <c r="R70" s="953">
        <v>0</v>
      </c>
      <c r="S70" s="954">
        <v>0</v>
      </c>
      <c r="T70" s="954">
        <v>1</v>
      </c>
      <c r="U70" s="954">
        <v>1</v>
      </c>
      <c r="V70" s="955">
        <v>0</v>
      </c>
      <c r="W70" s="955">
        <v>0</v>
      </c>
      <c r="X70" s="955">
        <f>G70</f>
        <v>6000</v>
      </c>
      <c r="Y70" s="956">
        <f>X70</f>
        <v>6000</v>
      </c>
      <c r="Z70" s="883"/>
    </row>
    <row r="71" spans="1:26" ht="18.75" customHeight="1" thickBot="1" x14ac:dyDescent="0.3">
      <c r="A71" s="884"/>
      <c r="B71" s="952"/>
      <c r="C71" s="958" t="s">
        <v>978</v>
      </c>
      <c r="D71" s="959"/>
      <c r="E71" s="960" t="s">
        <v>979</v>
      </c>
      <c r="F71" s="961" t="s">
        <v>980</v>
      </c>
      <c r="G71" s="962">
        <f>26000</f>
        <v>26000</v>
      </c>
      <c r="H71" s="963">
        <v>4000</v>
      </c>
      <c r="I71" s="876">
        <f t="shared" si="2"/>
        <v>30000</v>
      </c>
      <c r="J71" s="1"/>
      <c r="K71" s="1"/>
      <c r="L71" s="854"/>
      <c r="M71" s="854"/>
      <c r="N71" s="854"/>
      <c r="O71" s="854"/>
      <c r="P71" s="1"/>
      <c r="Q71" s="1"/>
      <c r="R71" s="964">
        <v>1</v>
      </c>
      <c r="S71" s="965">
        <v>0</v>
      </c>
      <c r="T71" s="965">
        <v>0</v>
      </c>
      <c r="U71" s="965">
        <v>1</v>
      </c>
      <c r="V71" s="966">
        <v>2600</v>
      </c>
      <c r="W71" s="966">
        <v>0</v>
      </c>
      <c r="X71" s="966">
        <v>0</v>
      </c>
      <c r="Y71" s="967">
        <f>G71</f>
        <v>26000</v>
      </c>
      <c r="Z71" s="883"/>
    </row>
    <row r="72" spans="1:26" ht="18.75" customHeight="1" x14ac:dyDescent="0.25">
      <c r="A72" s="884"/>
      <c r="B72" s="968" t="s">
        <v>981</v>
      </c>
      <c r="C72" s="899" t="s">
        <v>550</v>
      </c>
      <c r="D72" s="944"/>
      <c r="E72" s="945" t="s">
        <v>982</v>
      </c>
      <c r="F72" s="946" t="s">
        <v>285</v>
      </c>
      <c r="G72" s="947">
        <v>5100</v>
      </c>
      <c r="H72" s="898"/>
      <c r="I72" s="898"/>
      <c r="J72" s="1"/>
      <c r="K72" s="1"/>
      <c r="L72" s="854"/>
      <c r="M72" s="854"/>
      <c r="N72" s="854"/>
      <c r="O72" s="854"/>
      <c r="P72" s="1"/>
      <c r="Q72" s="1"/>
      <c r="R72" s="969"/>
      <c r="S72" s="970"/>
      <c r="T72" s="970"/>
      <c r="U72" s="970"/>
      <c r="V72" s="971"/>
      <c r="W72" s="971"/>
      <c r="X72" s="971"/>
      <c r="Y72" s="972"/>
      <c r="Z72" s="923">
        <f>SUM(G72:G83)</f>
        <v>63024.229999999996</v>
      </c>
    </row>
    <row r="73" spans="1:26" ht="18.75" customHeight="1" x14ac:dyDescent="0.25">
      <c r="A73" s="884"/>
      <c r="B73" s="973"/>
      <c r="C73" s="886"/>
      <c r="D73" s="887"/>
      <c r="E73" s="874">
        <v>710203</v>
      </c>
      <c r="F73" s="875" t="s">
        <v>84</v>
      </c>
      <c r="G73" s="974">
        <v>1158</v>
      </c>
      <c r="H73" s="974"/>
      <c r="I73" s="974"/>
      <c r="J73" s="1"/>
      <c r="K73" s="1"/>
      <c r="L73" s="854"/>
      <c r="M73" s="854"/>
      <c r="N73" s="854"/>
      <c r="O73" s="854"/>
      <c r="P73" s="1"/>
      <c r="Q73" s="1"/>
      <c r="R73" s="975"/>
      <c r="S73" s="976"/>
      <c r="T73" s="976"/>
      <c r="U73" s="976"/>
      <c r="V73" s="977"/>
      <c r="W73" s="977"/>
      <c r="X73" s="977"/>
      <c r="Y73" s="978"/>
      <c r="Z73" s="923"/>
    </row>
    <row r="74" spans="1:26" ht="18.75" customHeight="1" x14ac:dyDescent="0.25">
      <c r="A74" s="884"/>
      <c r="B74" s="973"/>
      <c r="C74" s="886"/>
      <c r="D74" s="887"/>
      <c r="E74" s="874">
        <v>710204</v>
      </c>
      <c r="F74" s="875" t="s">
        <v>127</v>
      </c>
      <c r="G74" s="974">
        <v>850</v>
      </c>
      <c r="H74" s="974"/>
      <c r="I74" s="974"/>
      <c r="J74" s="1"/>
      <c r="K74" s="1"/>
      <c r="L74" s="854"/>
      <c r="M74" s="854"/>
      <c r="N74" s="854"/>
      <c r="O74" s="854"/>
      <c r="P74" s="1"/>
      <c r="Q74" s="1"/>
      <c r="R74" s="975"/>
      <c r="S74" s="976"/>
      <c r="T74" s="976"/>
      <c r="U74" s="976"/>
      <c r="V74" s="977"/>
      <c r="W74" s="977"/>
      <c r="X74" s="977"/>
      <c r="Y74" s="978"/>
      <c r="Z74" s="923"/>
    </row>
    <row r="75" spans="1:26" ht="18.75" customHeight="1" x14ac:dyDescent="0.25">
      <c r="A75" s="884"/>
      <c r="B75" s="973"/>
      <c r="C75" s="886"/>
      <c r="D75" s="887"/>
      <c r="E75" s="874">
        <v>710601</v>
      </c>
      <c r="F75" s="875" t="s">
        <v>86</v>
      </c>
      <c r="G75" s="974">
        <v>1662.23</v>
      </c>
      <c r="H75" s="974"/>
      <c r="I75" s="974"/>
      <c r="J75" s="1"/>
      <c r="K75" s="1"/>
      <c r="L75" s="854"/>
      <c r="M75" s="854"/>
      <c r="N75" s="854"/>
      <c r="O75" s="854"/>
      <c r="P75" s="1"/>
      <c r="Q75" s="1"/>
      <c r="R75" s="975"/>
      <c r="S75" s="976"/>
      <c r="T75" s="976"/>
      <c r="U75" s="976"/>
      <c r="V75" s="977"/>
      <c r="W75" s="977"/>
      <c r="X75" s="977"/>
      <c r="Y75" s="978"/>
      <c r="Z75" s="923"/>
    </row>
    <row r="76" spans="1:26" ht="18.75" customHeight="1" x14ac:dyDescent="0.25">
      <c r="A76" s="884"/>
      <c r="B76" s="973"/>
      <c r="C76" s="886"/>
      <c r="D76" s="887"/>
      <c r="E76" s="874">
        <v>710602</v>
      </c>
      <c r="F76" s="875" t="s">
        <v>87</v>
      </c>
      <c r="G76" s="974">
        <v>1158</v>
      </c>
      <c r="H76" s="974"/>
      <c r="I76" s="974"/>
      <c r="J76" s="1"/>
      <c r="K76" s="1"/>
      <c r="L76" s="854"/>
      <c r="M76" s="854"/>
      <c r="N76" s="854"/>
      <c r="O76" s="854"/>
      <c r="P76" s="1"/>
      <c r="Q76" s="1"/>
      <c r="R76" s="975"/>
      <c r="S76" s="976"/>
      <c r="T76" s="976"/>
      <c r="U76" s="976"/>
      <c r="V76" s="977"/>
      <c r="W76" s="977"/>
      <c r="X76" s="977"/>
      <c r="Y76" s="978"/>
      <c r="Z76" s="923"/>
    </row>
    <row r="77" spans="1:26" ht="18.75" customHeight="1" thickBot="1" x14ac:dyDescent="0.3">
      <c r="A77" s="884"/>
      <c r="B77" s="973"/>
      <c r="C77" s="907"/>
      <c r="D77" s="887"/>
      <c r="E77" s="896" t="s">
        <v>966</v>
      </c>
      <c r="F77" s="957" t="s">
        <v>20</v>
      </c>
      <c r="G77" s="974">
        <v>8796</v>
      </c>
      <c r="H77" s="974"/>
      <c r="I77" s="974"/>
      <c r="J77" s="1"/>
      <c r="K77" s="1"/>
      <c r="L77" s="854"/>
      <c r="M77" s="854"/>
      <c r="N77" s="854"/>
      <c r="O77" s="854"/>
      <c r="P77" s="1"/>
      <c r="Q77" s="1"/>
      <c r="R77" s="975"/>
      <c r="S77" s="976"/>
      <c r="T77" s="976"/>
      <c r="U77" s="976"/>
      <c r="V77" s="977"/>
      <c r="W77" s="977"/>
      <c r="X77" s="977"/>
      <c r="Y77" s="978"/>
      <c r="Z77" s="923"/>
    </row>
    <row r="78" spans="1:26" ht="18.75" customHeight="1" x14ac:dyDescent="0.25">
      <c r="A78" s="884"/>
      <c r="B78" s="973"/>
      <c r="C78" s="946" t="s">
        <v>983</v>
      </c>
      <c r="D78" s="887"/>
      <c r="E78" s="979" t="s">
        <v>984</v>
      </c>
      <c r="F78" s="946" t="s">
        <v>985</v>
      </c>
      <c r="G78" s="980">
        <v>20000</v>
      </c>
      <c r="H78" s="974"/>
      <c r="I78" s="974"/>
      <c r="J78" s="1"/>
      <c r="K78" s="1"/>
      <c r="L78" s="854"/>
      <c r="M78" s="854"/>
      <c r="N78" s="854"/>
      <c r="O78" s="854"/>
      <c r="P78" s="1"/>
      <c r="Q78" s="1"/>
      <c r="R78" s="975"/>
      <c r="S78" s="976"/>
      <c r="T78" s="976"/>
      <c r="U78" s="976"/>
      <c r="V78" s="977"/>
      <c r="W78" s="977"/>
      <c r="X78" s="977"/>
      <c r="Y78" s="978"/>
      <c r="Z78" s="923"/>
    </row>
    <row r="79" spans="1:26" ht="18.75" customHeight="1" x14ac:dyDescent="0.25">
      <c r="A79" s="884"/>
      <c r="B79" s="981"/>
      <c r="C79" s="875" t="s">
        <v>986</v>
      </c>
      <c r="D79" s="887"/>
      <c r="E79" s="888" t="s">
        <v>948</v>
      </c>
      <c r="F79" s="875" t="s">
        <v>428</v>
      </c>
      <c r="G79" s="982">
        <v>1000</v>
      </c>
      <c r="H79" s="982"/>
      <c r="I79" s="982"/>
      <c r="J79" s="1"/>
      <c r="K79" s="1"/>
      <c r="L79" s="854"/>
      <c r="M79" s="854"/>
      <c r="N79" s="854"/>
      <c r="O79" s="854"/>
      <c r="P79" s="1"/>
      <c r="Q79" s="1"/>
      <c r="R79" s="983">
        <v>0</v>
      </c>
      <c r="S79" s="984">
        <v>0.5</v>
      </c>
      <c r="T79" s="984">
        <v>0.5</v>
      </c>
      <c r="U79" s="984">
        <v>1</v>
      </c>
      <c r="V79" s="985">
        <v>0</v>
      </c>
      <c r="W79" s="985">
        <f>G79*T79</f>
        <v>500</v>
      </c>
      <c r="X79" s="985">
        <f>G79*T79</f>
        <v>500</v>
      </c>
      <c r="Y79" s="986">
        <f t="shared" ref="Y79:Y82" si="3">SUM(W79:X79)</f>
        <v>1000</v>
      </c>
      <c r="Z79" s="883"/>
    </row>
    <row r="80" spans="1:26" ht="18.75" customHeight="1" x14ac:dyDescent="0.25">
      <c r="A80" s="884"/>
      <c r="B80" s="981"/>
      <c r="C80" s="875" t="s">
        <v>987</v>
      </c>
      <c r="D80" s="887"/>
      <c r="E80" s="888" t="s">
        <v>948</v>
      </c>
      <c r="F80" s="875" t="s">
        <v>428</v>
      </c>
      <c r="G80" s="982">
        <v>800</v>
      </c>
      <c r="H80" s="982"/>
      <c r="I80" s="982"/>
      <c r="J80" s="1"/>
      <c r="K80" s="1"/>
      <c r="L80" s="854"/>
      <c r="M80" s="854"/>
      <c r="N80" s="854"/>
      <c r="O80" s="854"/>
      <c r="P80" s="1"/>
      <c r="Q80" s="1"/>
      <c r="R80" s="983">
        <v>0</v>
      </c>
      <c r="S80" s="984">
        <v>0.5</v>
      </c>
      <c r="T80" s="984">
        <v>0.5</v>
      </c>
      <c r="U80" s="984">
        <v>1</v>
      </c>
      <c r="V80" s="985">
        <v>0</v>
      </c>
      <c r="W80" s="985">
        <f>G81*T80</f>
        <v>1750</v>
      </c>
      <c r="X80" s="985">
        <f>G81*T80</f>
        <v>1750</v>
      </c>
      <c r="Y80" s="986">
        <f t="shared" si="3"/>
        <v>3500</v>
      </c>
      <c r="Z80" s="883"/>
    </row>
    <row r="81" spans="1:26" ht="18.75" customHeight="1" x14ac:dyDescent="0.25">
      <c r="A81" s="884"/>
      <c r="B81" s="981"/>
      <c r="C81" s="875" t="s">
        <v>988</v>
      </c>
      <c r="D81" s="887"/>
      <c r="E81" s="888" t="s">
        <v>989</v>
      </c>
      <c r="F81" s="875" t="s">
        <v>990</v>
      </c>
      <c r="G81" s="982">
        <v>3500</v>
      </c>
      <c r="H81" s="982"/>
      <c r="I81" s="982"/>
      <c r="J81" s="1"/>
      <c r="K81" s="1"/>
      <c r="L81" s="854"/>
      <c r="M81" s="854"/>
      <c r="N81" s="854"/>
      <c r="O81" s="854"/>
      <c r="P81" s="1"/>
      <c r="Q81" s="1"/>
      <c r="R81" s="983">
        <v>0</v>
      </c>
      <c r="S81" s="984">
        <v>0.5</v>
      </c>
      <c r="T81" s="984">
        <v>0.5</v>
      </c>
      <c r="U81" s="984">
        <v>1</v>
      </c>
      <c r="V81" s="985">
        <v>0</v>
      </c>
      <c r="W81" s="985">
        <f>G82*T81</f>
        <v>7500</v>
      </c>
      <c r="X81" s="985">
        <f>G82*T81</f>
        <v>7500</v>
      </c>
      <c r="Y81" s="986">
        <f t="shared" si="3"/>
        <v>15000</v>
      </c>
      <c r="Z81" s="883"/>
    </row>
    <row r="82" spans="1:26" ht="18.75" customHeight="1" x14ac:dyDescent="0.25">
      <c r="A82" s="884"/>
      <c r="B82" s="981"/>
      <c r="C82" s="875" t="s">
        <v>991</v>
      </c>
      <c r="D82" s="887"/>
      <c r="E82" s="888" t="s">
        <v>992</v>
      </c>
      <c r="F82" s="875" t="s">
        <v>993</v>
      </c>
      <c r="G82" s="982">
        <v>15000</v>
      </c>
      <c r="H82" s="982"/>
      <c r="I82" s="982"/>
      <c r="J82" s="1"/>
      <c r="K82" s="1"/>
      <c r="L82" s="854"/>
      <c r="M82" s="854"/>
      <c r="N82" s="854"/>
      <c r="O82" s="854"/>
      <c r="P82" s="1"/>
      <c r="Q82" s="1"/>
      <c r="R82" s="983">
        <v>0</v>
      </c>
      <c r="S82" s="984">
        <v>0.5</v>
      </c>
      <c r="T82" s="984">
        <v>0.5</v>
      </c>
      <c r="U82" s="984">
        <v>1</v>
      </c>
      <c r="V82" s="985">
        <v>0</v>
      </c>
      <c r="W82" s="985">
        <f>G72*T82</f>
        <v>2550</v>
      </c>
      <c r="X82" s="985">
        <f>G72*T82</f>
        <v>2550</v>
      </c>
      <c r="Y82" s="986">
        <f t="shared" si="3"/>
        <v>5100</v>
      </c>
      <c r="Z82" s="883"/>
    </row>
    <row r="83" spans="1:26" ht="18.75" customHeight="1" thickBot="1" x14ac:dyDescent="0.3">
      <c r="A83" s="987"/>
      <c r="B83" s="988"/>
      <c r="C83" s="989"/>
      <c r="D83" s="908"/>
      <c r="E83" s="934" t="s">
        <v>948</v>
      </c>
      <c r="F83" s="935" t="s">
        <v>428</v>
      </c>
      <c r="G83" s="990">
        <v>4000</v>
      </c>
      <c r="H83" s="991"/>
      <c r="I83" s="991"/>
      <c r="J83" s="1"/>
      <c r="K83" s="1"/>
      <c r="L83" s="854"/>
      <c r="M83" s="854"/>
      <c r="N83" s="854"/>
      <c r="O83" s="854"/>
      <c r="P83" s="1"/>
      <c r="Q83" s="1"/>
      <c r="R83" s="992"/>
      <c r="S83" s="993"/>
      <c r="T83" s="993"/>
      <c r="U83" s="993"/>
      <c r="V83" s="994"/>
      <c r="W83" s="994"/>
      <c r="X83" s="994"/>
      <c r="Y83" s="995"/>
      <c r="Z83" s="883"/>
    </row>
    <row r="84" spans="1:26" ht="33.75" customHeight="1" thickBot="1" x14ac:dyDescent="0.3">
      <c r="A84" s="836" t="s">
        <v>994</v>
      </c>
      <c r="B84" s="837"/>
      <c r="C84" s="837"/>
      <c r="D84" s="837"/>
      <c r="E84" s="837"/>
      <c r="F84" s="838"/>
      <c r="G84" s="996">
        <f>SUM(G49:G83)</f>
        <v>283625.70000000007</v>
      </c>
      <c r="H84" s="996"/>
      <c r="I84" s="996"/>
      <c r="J84" s="71"/>
      <c r="K84" s="854"/>
      <c r="L84" s="854"/>
      <c r="M84" s="854"/>
      <c r="N84" s="854"/>
      <c r="O84" s="854"/>
      <c r="P84" s="1"/>
      <c r="Q84" s="1"/>
      <c r="R84" s="997"/>
      <c r="S84" s="998"/>
      <c r="T84" s="998"/>
      <c r="U84" s="998"/>
      <c r="V84" s="999"/>
      <c r="W84" s="999"/>
      <c r="X84" s="999"/>
      <c r="Y84" s="1000"/>
    </row>
    <row r="85" spans="1:26" ht="18.75" customHeight="1" x14ac:dyDescent="0.25">
      <c r="A85" s="1001" t="s">
        <v>995</v>
      </c>
      <c r="B85" s="1002" t="s">
        <v>996</v>
      </c>
      <c r="C85" s="508" t="s">
        <v>550</v>
      </c>
      <c r="D85" s="1003"/>
      <c r="E85" s="1004">
        <v>710105</v>
      </c>
      <c r="F85" s="1004" t="s">
        <v>125</v>
      </c>
      <c r="G85" s="1005">
        <v>9804</v>
      </c>
      <c r="H85" s="1006"/>
      <c r="I85" s="1006"/>
      <c r="J85" s="1"/>
      <c r="K85" s="854"/>
      <c r="L85" s="854"/>
      <c r="M85" s="854"/>
      <c r="N85" s="854"/>
      <c r="O85" s="854"/>
      <c r="P85" s="1"/>
      <c r="Q85" s="1"/>
      <c r="R85" s="1007"/>
      <c r="S85" s="1008"/>
      <c r="T85" s="1008"/>
      <c r="U85" s="1008"/>
      <c r="V85" s="1009"/>
      <c r="W85" s="1009"/>
      <c r="X85" s="1009"/>
      <c r="Y85" s="1010"/>
      <c r="Z85" s="1011">
        <f>SUM(G85:G97)</f>
        <v>97467.77</v>
      </c>
    </row>
    <row r="86" spans="1:26" ht="18.75" customHeight="1" x14ac:dyDescent="0.25">
      <c r="A86" s="1012"/>
      <c r="B86" s="1013"/>
      <c r="C86" s="508"/>
      <c r="D86" s="1014"/>
      <c r="E86" s="1015">
        <v>710203</v>
      </c>
      <c r="F86" s="1015" t="s">
        <v>84</v>
      </c>
      <c r="G86" s="1016">
        <v>2517</v>
      </c>
      <c r="H86" s="1016"/>
      <c r="I86" s="1016"/>
      <c r="J86" s="1"/>
      <c r="K86" s="854"/>
      <c r="L86" s="854"/>
      <c r="M86" s="854"/>
      <c r="N86" s="854"/>
      <c r="O86" s="854"/>
      <c r="P86" s="1"/>
      <c r="Q86" s="1"/>
      <c r="R86" s="1017"/>
      <c r="S86" s="1018"/>
      <c r="T86" s="1018"/>
      <c r="U86" s="1018"/>
      <c r="V86" s="1019"/>
      <c r="W86" s="1019"/>
      <c r="X86" s="1019"/>
      <c r="Y86" s="1020"/>
      <c r="Z86" s="664"/>
    </row>
    <row r="87" spans="1:26" ht="18.75" customHeight="1" x14ac:dyDescent="0.25">
      <c r="A87" s="1012"/>
      <c r="B87" s="1013"/>
      <c r="C87" s="508"/>
      <c r="D87" s="1014"/>
      <c r="E87" s="1015">
        <v>710204</v>
      </c>
      <c r="F87" s="1015" t="s">
        <v>127</v>
      </c>
      <c r="G87" s="1016">
        <v>2125</v>
      </c>
      <c r="H87" s="1016"/>
      <c r="I87" s="1016"/>
      <c r="J87" s="1"/>
      <c r="K87" s="854"/>
      <c r="L87" s="854"/>
      <c r="M87" s="854"/>
      <c r="N87" s="854"/>
      <c r="O87" s="854"/>
      <c r="P87" s="1"/>
      <c r="Q87" s="1"/>
      <c r="R87" s="1017"/>
      <c r="S87" s="1018"/>
      <c r="T87" s="1018"/>
      <c r="U87" s="1018"/>
      <c r="V87" s="1019"/>
      <c r="W87" s="1019"/>
      <c r="X87" s="1019"/>
      <c r="Y87" s="1020"/>
      <c r="Z87" s="664"/>
    </row>
    <row r="88" spans="1:26" ht="18.75" customHeight="1" x14ac:dyDescent="0.25">
      <c r="A88" s="1012"/>
      <c r="B88" s="1013"/>
      <c r="C88" s="508"/>
      <c r="D88" s="1014"/>
      <c r="E88" s="1015">
        <v>710601</v>
      </c>
      <c r="F88" s="1015" t="s">
        <v>86</v>
      </c>
      <c r="G88" s="1016">
        <v>3518.77</v>
      </c>
      <c r="H88" s="1016"/>
      <c r="I88" s="1016"/>
      <c r="J88" s="1"/>
      <c r="K88" s="854"/>
      <c r="L88" s="854"/>
      <c r="M88" s="854"/>
      <c r="N88" s="854"/>
      <c r="O88" s="854"/>
      <c r="P88" s="1"/>
      <c r="Q88" s="1"/>
      <c r="R88" s="1017"/>
      <c r="S88" s="1018"/>
      <c r="T88" s="1018"/>
      <c r="U88" s="1018"/>
      <c r="V88" s="1019"/>
      <c r="W88" s="1019"/>
      <c r="X88" s="1019"/>
      <c r="Y88" s="1020"/>
      <c r="Z88" s="664"/>
    </row>
    <row r="89" spans="1:26" ht="18.75" customHeight="1" x14ac:dyDescent="0.25">
      <c r="A89" s="1012"/>
      <c r="B89" s="1013"/>
      <c r="C89" s="508"/>
      <c r="D89" s="1014"/>
      <c r="E89" s="1015">
        <v>710602</v>
      </c>
      <c r="F89" s="1015" t="s">
        <v>87</v>
      </c>
      <c r="G89" s="1016">
        <v>2517</v>
      </c>
      <c r="H89" s="1016"/>
      <c r="I89" s="1016"/>
      <c r="J89" s="1"/>
      <c r="K89" s="854"/>
      <c r="L89" s="854"/>
      <c r="M89" s="854"/>
      <c r="N89" s="854"/>
      <c r="O89" s="854"/>
      <c r="P89" s="1"/>
      <c r="Q89" s="1"/>
      <c r="R89" s="1017"/>
      <c r="S89" s="1018"/>
      <c r="T89" s="1018"/>
      <c r="U89" s="1018"/>
      <c r="V89" s="1019"/>
      <c r="W89" s="1019"/>
      <c r="X89" s="1019"/>
      <c r="Y89" s="1020"/>
      <c r="Z89" s="664"/>
    </row>
    <row r="90" spans="1:26" ht="18.75" customHeight="1" x14ac:dyDescent="0.25">
      <c r="A90" s="1012"/>
      <c r="B90" s="1013"/>
      <c r="C90" s="508"/>
      <c r="D90" s="1014"/>
      <c r="E90" s="1015">
        <v>710510</v>
      </c>
      <c r="F90" s="1015" t="s">
        <v>997</v>
      </c>
      <c r="G90" s="1016">
        <v>20400</v>
      </c>
      <c r="H90" s="1016"/>
      <c r="I90" s="1016"/>
      <c r="J90" s="1"/>
      <c r="K90" s="854"/>
      <c r="L90" s="854"/>
      <c r="M90" s="854"/>
      <c r="N90" s="854"/>
      <c r="O90" s="854"/>
      <c r="P90" s="1"/>
      <c r="Q90" s="1"/>
      <c r="R90" s="1017"/>
      <c r="S90" s="1018"/>
      <c r="T90" s="1018"/>
      <c r="U90" s="1018"/>
      <c r="V90" s="1019"/>
      <c r="W90" s="1019"/>
      <c r="X90" s="1019"/>
      <c r="Y90" s="1020"/>
      <c r="Z90" s="664"/>
    </row>
    <row r="91" spans="1:26" ht="18.75" customHeight="1" x14ac:dyDescent="0.25">
      <c r="A91" s="1012"/>
      <c r="B91" s="1013"/>
      <c r="C91" s="508"/>
      <c r="D91" s="1014"/>
      <c r="E91" s="1015">
        <v>730606</v>
      </c>
      <c r="F91" s="1015" t="s">
        <v>998</v>
      </c>
      <c r="G91" s="1016">
        <v>32400</v>
      </c>
      <c r="H91" s="1016"/>
      <c r="I91" s="1016"/>
      <c r="J91" s="1"/>
      <c r="K91" s="854"/>
      <c r="L91" s="854"/>
      <c r="M91" s="854"/>
      <c r="N91" s="854"/>
      <c r="O91" s="854"/>
      <c r="P91" s="1"/>
      <c r="Q91" s="1"/>
      <c r="R91" s="1017"/>
      <c r="S91" s="1018"/>
      <c r="T91" s="1018"/>
      <c r="U91" s="1018"/>
      <c r="V91" s="1019"/>
      <c r="W91" s="1019"/>
      <c r="X91" s="1019"/>
      <c r="Y91" s="1020"/>
      <c r="Z91" s="664"/>
    </row>
    <row r="92" spans="1:26" ht="18.75" customHeight="1" x14ac:dyDescent="0.25">
      <c r="A92" s="1012"/>
      <c r="B92" s="1013"/>
      <c r="C92" s="508"/>
      <c r="D92" s="1014"/>
      <c r="E92" s="1015">
        <v>840104</v>
      </c>
      <c r="F92" s="1015" t="s">
        <v>174</v>
      </c>
      <c r="G92" s="1016">
        <v>1200</v>
      </c>
      <c r="H92" s="1016"/>
      <c r="I92" s="1016"/>
      <c r="J92" s="1"/>
      <c r="K92" s="854"/>
      <c r="L92" s="854"/>
      <c r="M92" s="854"/>
      <c r="N92" s="854"/>
      <c r="O92" s="854"/>
      <c r="P92" s="1"/>
      <c r="Q92" s="1"/>
      <c r="R92" s="1017"/>
      <c r="S92" s="1018"/>
      <c r="T92" s="1018"/>
      <c r="U92" s="1018"/>
      <c r="V92" s="1019"/>
      <c r="W92" s="1019"/>
      <c r="X92" s="1019"/>
      <c r="Y92" s="1020"/>
      <c r="Z92" s="664"/>
    </row>
    <row r="93" spans="1:26" ht="18.75" customHeight="1" x14ac:dyDescent="0.25">
      <c r="A93" s="1012"/>
      <c r="B93" s="1013"/>
      <c r="C93" s="508"/>
      <c r="D93" s="1014"/>
      <c r="E93" s="1015">
        <v>840107</v>
      </c>
      <c r="F93" s="1015" t="s">
        <v>999</v>
      </c>
      <c r="G93" s="1016">
        <v>2000</v>
      </c>
      <c r="H93" s="1016"/>
      <c r="I93" s="1016"/>
      <c r="J93" s="1"/>
      <c r="K93" s="1"/>
      <c r="L93" s="854"/>
      <c r="M93" s="854"/>
      <c r="N93" s="854"/>
      <c r="O93" s="854"/>
      <c r="P93" s="1"/>
      <c r="Q93" s="854"/>
      <c r="R93" s="1017">
        <v>1</v>
      </c>
      <c r="S93" s="1018">
        <v>0</v>
      </c>
      <c r="T93" s="1018">
        <v>0</v>
      </c>
      <c r="U93" s="1018">
        <v>1</v>
      </c>
      <c r="V93" s="1019">
        <v>2000</v>
      </c>
      <c r="W93" s="1019">
        <v>0</v>
      </c>
      <c r="X93" s="1019">
        <v>0</v>
      </c>
      <c r="Y93" s="1021">
        <v>2000</v>
      </c>
      <c r="Z93" s="664"/>
    </row>
    <row r="94" spans="1:26" ht="18.75" customHeight="1" x14ac:dyDescent="0.25">
      <c r="A94" s="1012"/>
      <c r="B94" s="1013"/>
      <c r="C94" s="1022" t="s">
        <v>1000</v>
      </c>
      <c r="D94" s="1014"/>
      <c r="E94" s="1015">
        <v>730827</v>
      </c>
      <c r="F94" s="1015" t="s">
        <v>1001</v>
      </c>
      <c r="G94" s="1016">
        <f>5200+200</f>
        <v>5400</v>
      </c>
      <c r="H94" s="1016"/>
      <c r="I94" s="1016"/>
      <c r="J94" s="1"/>
      <c r="K94" s="1"/>
      <c r="L94" s="854"/>
      <c r="M94" s="854"/>
      <c r="N94" s="854"/>
      <c r="O94" s="854"/>
      <c r="P94" s="1"/>
      <c r="Q94" s="1"/>
      <c r="R94" s="1017">
        <v>1</v>
      </c>
      <c r="S94" s="1018">
        <v>0</v>
      </c>
      <c r="T94" s="1018">
        <v>0</v>
      </c>
      <c r="U94" s="1018">
        <v>1</v>
      </c>
      <c r="V94" s="1019">
        <v>5200</v>
      </c>
      <c r="W94" s="1019">
        <v>0</v>
      </c>
      <c r="X94" s="1019">
        <v>0</v>
      </c>
      <c r="Y94" s="1021">
        <v>5200</v>
      </c>
      <c r="Z94" s="664"/>
    </row>
    <row r="95" spans="1:26" ht="18.75" customHeight="1" x14ac:dyDescent="0.25">
      <c r="A95" s="1012"/>
      <c r="B95" s="1013"/>
      <c r="C95" s="1023"/>
      <c r="D95" s="1014"/>
      <c r="E95" s="1015">
        <v>730235</v>
      </c>
      <c r="F95" s="1015" t="s">
        <v>343</v>
      </c>
      <c r="G95" s="1016">
        <v>2000</v>
      </c>
      <c r="H95" s="1016"/>
      <c r="I95" s="1016"/>
      <c r="J95" s="1"/>
      <c r="K95" s="1"/>
      <c r="L95" s="854"/>
      <c r="M95" s="854"/>
      <c r="N95" s="854"/>
      <c r="O95" s="854"/>
      <c r="P95" s="1"/>
      <c r="Q95" s="1"/>
      <c r="R95" s="1017">
        <v>0.3</v>
      </c>
      <c r="S95" s="1018">
        <v>0.3</v>
      </c>
      <c r="T95" s="1018">
        <v>0.4</v>
      </c>
      <c r="U95" s="1018">
        <v>1</v>
      </c>
      <c r="V95" s="1019">
        <v>1920</v>
      </c>
      <c r="W95" s="1019">
        <v>1920</v>
      </c>
      <c r="X95" s="1019">
        <v>2560</v>
      </c>
      <c r="Y95" s="1021">
        <v>6400</v>
      </c>
      <c r="Z95" s="664"/>
    </row>
    <row r="96" spans="1:26" ht="18.75" customHeight="1" x14ac:dyDescent="0.25">
      <c r="A96" s="1012"/>
      <c r="B96" s="1013"/>
      <c r="C96" s="1023"/>
      <c r="D96" s="1014"/>
      <c r="E96" s="1015">
        <v>730201</v>
      </c>
      <c r="F96" s="1015" t="s">
        <v>19</v>
      </c>
      <c r="G96" s="1016">
        <v>7186</v>
      </c>
      <c r="H96" s="1016"/>
      <c r="I96" s="1016"/>
      <c r="J96" s="1"/>
      <c r="K96" s="1"/>
      <c r="L96" s="854"/>
      <c r="M96" s="854"/>
      <c r="N96" s="854"/>
      <c r="O96" s="854"/>
      <c r="P96" s="1"/>
      <c r="Q96" s="1"/>
      <c r="R96" s="1017">
        <v>0.3</v>
      </c>
      <c r="S96" s="1018">
        <v>0.3</v>
      </c>
      <c r="T96" s="1018">
        <v>0.4</v>
      </c>
      <c r="U96" s="1018">
        <v>1</v>
      </c>
      <c r="V96" s="1019">
        <v>600</v>
      </c>
      <c r="W96" s="1019">
        <v>600</v>
      </c>
      <c r="X96" s="1019">
        <v>800</v>
      </c>
      <c r="Y96" s="1021">
        <v>2000</v>
      </c>
      <c r="Z96" s="664"/>
    </row>
    <row r="97" spans="1:27" ht="18.75" customHeight="1" thickBot="1" x14ac:dyDescent="0.3">
      <c r="A97" s="1012"/>
      <c r="B97" s="1024"/>
      <c r="C97" s="1025"/>
      <c r="D97" s="1026"/>
      <c r="E97" s="1027">
        <v>730824</v>
      </c>
      <c r="F97" s="1027" t="s">
        <v>1002</v>
      </c>
      <c r="G97" s="1028">
        <v>6400</v>
      </c>
      <c r="H97" s="1029"/>
      <c r="I97" s="1029"/>
      <c r="J97" s="1"/>
      <c r="K97" s="1"/>
      <c r="L97" s="854"/>
      <c r="M97" s="854"/>
      <c r="N97" s="854"/>
      <c r="O97" s="854"/>
      <c r="P97" s="1"/>
      <c r="Q97" s="1"/>
      <c r="R97" s="1030">
        <v>1</v>
      </c>
      <c r="S97" s="1031">
        <v>0</v>
      </c>
      <c r="T97" s="1031">
        <v>0</v>
      </c>
      <c r="U97" s="1031">
        <v>1</v>
      </c>
      <c r="V97" s="1032">
        <v>6400</v>
      </c>
      <c r="W97" s="1032">
        <v>0</v>
      </c>
      <c r="X97" s="1032">
        <v>0</v>
      </c>
      <c r="Y97" s="1033">
        <v>6400</v>
      </c>
      <c r="Z97" s="664"/>
    </row>
    <row r="98" spans="1:27" ht="18.75" customHeight="1" x14ac:dyDescent="0.25">
      <c r="A98" s="1012"/>
      <c r="B98" s="1002" t="s">
        <v>1003</v>
      </c>
      <c r="C98" s="1004" t="s">
        <v>1004</v>
      </c>
      <c r="D98" s="1034"/>
      <c r="E98" s="1004">
        <v>730824</v>
      </c>
      <c r="F98" s="1004" t="s">
        <v>1002</v>
      </c>
      <c r="G98" s="1005">
        <v>6400</v>
      </c>
      <c r="H98" s="1006"/>
      <c r="I98" s="1006"/>
      <c r="J98" s="1"/>
      <c r="K98" s="1"/>
      <c r="L98" s="854"/>
      <c r="M98" s="854"/>
      <c r="N98" s="854"/>
      <c r="O98" s="854"/>
      <c r="P98" s="1"/>
      <c r="Q98" s="1"/>
      <c r="R98" s="1035">
        <v>1</v>
      </c>
      <c r="S98" s="1035">
        <v>0</v>
      </c>
      <c r="T98" s="1035">
        <v>0</v>
      </c>
      <c r="U98" s="1035">
        <v>1</v>
      </c>
      <c r="V98" s="1036">
        <v>6400</v>
      </c>
      <c r="W98" s="1036">
        <v>0</v>
      </c>
      <c r="X98" s="1036">
        <v>0</v>
      </c>
      <c r="Y98" s="1037">
        <v>6400</v>
      </c>
      <c r="Z98" s="1011">
        <f>SUM(G98:G100)</f>
        <v>19400</v>
      </c>
    </row>
    <row r="99" spans="1:27" ht="18.75" customHeight="1" x14ac:dyDescent="0.25">
      <c r="A99" s="1012"/>
      <c r="B99" s="1013"/>
      <c r="C99" s="1015" t="s">
        <v>1005</v>
      </c>
      <c r="D99" s="1038"/>
      <c r="E99" s="1015">
        <v>730606</v>
      </c>
      <c r="F99" s="1015" t="s">
        <v>998</v>
      </c>
      <c r="G99" s="1016">
        <v>11600</v>
      </c>
      <c r="H99" s="1016"/>
      <c r="I99" s="1016"/>
      <c r="J99" s="1"/>
      <c r="K99" s="1"/>
      <c r="L99" s="854"/>
      <c r="M99" s="854"/>
      <c r="N99" s="854"/>
      <c r="O99" s="854"/>
      <c r="P99" s="1"/>
      <c r="Q99" s="1"/>
      <c r="R99" s="1039">
        <v>0.3</v>
      </c>
      <c r="S99" s="1039">
        <v>0.3</v>
      </c>
      <c r="T99" s="1039">
        <v>0.4</v>
      </c>
      <c r="U99" s="1039">
        <v>1</v>
      </c>
      <c r="V99" s="1040">
        <v>3480</v>
      </c>
      <c r="W99" s="1040">
        <v>3480</v>
      </c>
      <c r="X99" s="1040">
        <v>4640</v>
      </c>
      <c r="Y99" s="1041">
        <v>11600</v>
      </c>
      <c r="Z99" s="664"/>
    </row>
    <row r="100" spans="1:27" ht="18.75" customHeight="1" thickBot="1" x14ac:dyDescent="0.3">
      <c r="A100" s="1012"/>
      <c r="B100" s="1024"/>
      <c r="C100" s="1027" t="s">
        <v>1006</v>
      </c>
      <c r="D100" s="1042"/>
      <c r="E100" s="1027">
        <v>730811</v>
      </c>
      <c r="F100" s="1027" t="s">
        <v>465</v>
      </c>
      <c r="G100" s="1028">
        <v>1400</v>
      </c>
      <c r="H100" s="1029"/>
      <c r="I100" s="1029"/>
      <c r="J100" s="1"/>
      <c r="K100" s="1"/>
      <c r="L100" s="854"/>
      <c r="M100" s="854"/>
      <c r="N100" s="854"/>
      <c r="O100" s="854"/>
      <c r="P100" s="1"/>
      <c r="Q100" s="1"/>
      <c r="R100" s="1043">
        <v>0.3</v>
      </c>
      <c r="S100" s="1043">
        <v>0.3</v>
      </c>
      <c r="T100" s="1043">
        <v>0.4</v>
      </c>
      <c r="U100" s="1043">
        <v>1</v>
      </c>
      <c r="V100" s="1044">
        <v>420</v>
      </c>
      <c r="W100" s="1044">
        <v>420</v>
      </c>
      <c r="X100" s="1044">
        <v>560</v>
      </c>
      <c r="Y100" s="1045">
        <v>1400</v>
      </c>
      <c r="Z100" s="664"/>
    </row>
    <row r="101" spans="1:27" ht="18.75" customHeight="1" thickBot="1" x14ac:dyDescent="0.3">
      <c r="A101" s="1046"/>
      <c r="B101" s="1047" t="s">
        <v>1007</v>
      </c>
      <c r="C101" s="1048" t="s">
        <v>1008</v>
      </c>
      <c r="D101" s="1049"/>
      <c r="E101" s="1048">
        <v>730205</v>
      </c>
      <c r="F101" s="1048" t="s">
        <v>1009</v>
      </c>
      <c r="G101" s="1050">
        <v>6000</v>
      </c>
      <c r="H101" s="1051"/>
      <c r="I101" s="1051"/>
      <c r="J101" s="1"/>
      <c r="K101" s="1"/>
      <c r="L101" s="854"/>
      <c r="M101" s="854"/>
      <c r="N101" s="854"/>
      <c r="O101" s="854"/>
      <c r="P101" s="1"/>
      <c r="Q101" s="1"/>
      <c r="R101" s="1052">
        <v>0</v>
      </c>
      <c r="S101" s="1052">
        <v>0</v>
      </c>
      <c r="T101" s="1052">
        <v>1</v>
      </c>
      <c r="U101" s="1052">
        <v>1</v>
      </c>
      <c r="V101" s="1053">
        <v>0</v>
      </c>
      <c r="W101" s="1053">
        <v>0</v>
      </c>
      <c r="X101" s="1053">
        <v>6000</v>
      </c>
      <c r="Y101" s="1054">
        <v>6000</v>
      </c>
      <c r="Z101" s="1055">
        <f>SUM(G101)</f>
        <v>6000</v>
      </c>
    </row>
    <row r="102" spans="1:27" ht="27" customHeight="1" x14ac:dyDescent="0.3">
      <c r="A102" s="836" t="s">
        <v>994</v>
      </c>
      <c r="B102" s="837"/>
      <c r="C102" s="837"/>
      <c r="D102" s="837"/>
      <c r="E102" s="837"/>
      <c r="F102" s="838"/>
      <c r="G102" s="1056">
        <f>SUM(G85:G101)</f>
        <v>122867.77</v>
      </c>
      <c r="H102" s="1056">
        <f t="shared" ref="H102:I102" si="4">SUM(H85:H101)</f>
        <v>0</v>
      </c>
      <c r="I102" s="1056">
        <f t="shared" si="4"/>
        <v>0</v>
      </c>
      <c r="J102" s="1057"/>
      <c r="Z102" s="1055">
        <f>+Z85+Z98+Z101</f>
        <v>122867.77</v>
      </c>
      <c r="AA102" s="510"/>
    </row>
    <row r="103" spans="1:27" ht="21" x14ac:dyDescent="0.35">
      <c r="G103" s="1058">
        <f>SUM(G102,G84,G48,G40)</f>
        <v>584217.39000000013</v>
      </c>
      <c r="H103" s="1058"/>
      <c r="I103" s="1058"/>
    </row>
    <row r="108" spans="1:27" x14ac:dyDescent="0.25">
      <c r="G108">
        <v>584217.39</v>
      </c>
    </row>
    <row r="109" spans="1:27" x14ac:dyDescent="0.25">
      <c r="C109" t="s">
        <v>1010</v>
      </c>
    </row>
    <row r="110" spans="1:27" x14ac:dyDescent="0.25">
      <c r="C110" t="s">
        <v>1011</v>
      </c>
    </row>
  </sheetData>
  <mergeCells count="79">
    <mergeCell ref="B98:B100"/>
    <mergeCell ref="D98:D100"/>
    <mergeCell ref="Z98:Z100"/>
    <mergeCell ref="A102:F102"/>
    <mergeCell ref="C72:C77"/>
    <mergeCell ref="D72:D83"/>
    <mergeCell ref="Z72:Z83"/>
    <mergeCell ref="A84:F84"/>
    <mergeCell ref="A85:A101"/>
    <mergeCell ref="B85:B97"/>
    <mergeCell ref="C85:C93"/>
    <mergeCell ref="D85:D97"/>
    <mergeCell ref="Z85:Z97"/>
    <mergeCell ref="C94:C97"/>
    <mergeCell ref="Z59:Z71"/>
    <mergeCell ref="C66:C68"/>
    <mergeCell ref="L66:L68"/>
    <mergeCell ref="M66:M68"/>
    <mergeCell ref="N66:N68"/>
    <mergeCell ref="O66:O68"/>
    <mergeCell ref="M49:M51"/>
    <mergeCell ref="N49:N51"/>
    <mergeCell ref="O49:O51"/>
    <mergeCell ref="Z49:Z53"/>
    <mergeCell ref="C52:C53"/>
    <mergeCell ref="B54:B58"/>
    <mergeCell ref="D54:D58"/>
    <mergeCell ref="Z54:Z58"/>
    <mergeCell ref="C56:C57"/>
    <mergeCell ref="A48:F48"/>
    <mergeCell ref="A49:A83"/>
    <mergeCell ref="B49:B53"/>
    <mergeCell ref="C49:C51"/>
    <mergeCell ref="D49:D53"/>
    <mergeCell ref="L49:L51"/>
    <mergeCell ref="B59:B71"/>
    <mergeCell ref="C59:C64"/>
    <mergeCell ref="D59:D71"/>
    <mergeCell ref="B72:B83"/>
    <mergeCell ref="AB29:AB37"/>
    <mergeCell ref="B39:F39"/>
    <mergeCell ref="A40:F40"/>
    <mergeCell ref="A41:A47"/>
    <mergeCell ref="B41:B47"/>
    <mergeCell ref="C41:C47"/>
    <mergeCell ref="D41:D47"/>
    <mergeCell ref="Z19:Z25"/>
    <mergeCell ref="C23:C24"/>
    <mergeCell ref="D23:D24"/>
    <mergeCell ref="B26:B38"/>
    <mergeCell ref="Z26:Z38"/>
    <mergeCell ref="C29:C37"/>
    <mergeCell ref="D29:D37"/>
    <mergeCell ref="J7:M7"/>
    <mergeCell ref="N7:Q7"/>
    <mergeCell ref="A9:A39"/>
    <mergeCell ref="B9:B17"/>
    <mergeCell ref="C9:C15"/>
    <mergeCell ref="C16:C17"/>
    <mergeCell ref="B18:F18"/>
    <mergeCell ref="B19:B25"/>
    <mergeCell ref="A6:H6"/>
    <mergeCell ref="J6:Q6"/>
    <mergeCell ref="A7:A8"/>
    <mergeCell ref="B7:B8"/>
    <mergeCell ref="C7:C8"/>
    <mergeCell ref="D7:D8"/>
    <mergeCell ref="E7:E8"/>
    <mergeCell ref="F7:F8"/>
    <mergeCell ref="G7:G8"/>
    <mergeCell ref="H7:I7"/>
    <mergeCell ref="D1:F1"/>
    <mergeCell ref="J1:Q1"/>
    <mergeCell ref="A2:B3"/>
    <mergeCell ref="D2:Q2"/>
    <mergeCell ref="D3:Q3"/>
    <mergeCell ref="A4:B5"/>
    <mergeCell ref="D4:Q4"/>
    <mergeCell ref="D5:Q5"/>
  </mergeCells>
  <conditionalFormatting sqref="F35:F37">
    <cfRule type="dataBar" priority="1">
      <dataBar>
        <cfvo type="min"/>
        <cfvo type="max"/>
        <color rgb="FF638EC6"/>
      </dataBar>
      <extLst>
        <ext xmlns:x14="http://schemas.microsoft.com/office/spreadsheetml/2009/9/main" uri="{B025F937-C7B1-47D3-B67F-A62EFF666E3E}">
          <x14:id>{12AABB4A-EC44-499D-912F-20D45B8F85F4}</x14:id>
        </ext>
      </extLst>
    </cfRule>
  </conditionalFormatting>
  <pageMargins left="0.7" right="0.7" top="0.75" bottom="0.75" header="0.3" footer="0.3"/>
  <pageSetup paperSize="9" scale="98"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dataBar" id="{12AABB4A-EC44-499D-912F-20D45B8F85F4}">
            <x14:dataBar minLength="0" maxLength="100" gradient="0">
              <x14:cfvo type="autoMin"/>
              <x14:cfvo type="autoMax"/>
              <x14:negativeFillColor rgb="FFFF0000"/>
              <x14:axisColor rgb="FF000000"/>
            </x14:dataBar>
          </x14:cfRule>
          <xm:sqref>F35:F37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44D6-F8A8-4D61-818E-5EF7654D6665}">
  <sheetPr>
    <pageSetUpPr fitToPage="1"/>
  </sheetPr>
  <dimension ref="A1:X25"/>
  <sheetViews>
    <sheetView tabSelected="1" topLeftCell="I1" zoomScale="70" zoomScaleNormal="70" workbookViewId="0">
      <selection activeCell="O21" sqref="O21"/>
    </sheetView>
  </sheetViews>
  <sheetFormatPr baseColWidth="10" defaultRowHeight="15" x14ac:dyDescent="0.25"/>
  <cols>
    <col min="1" max="1" width="22.140625" hidden="1" customWidth="1"/>
    <col min="2" max="2" width="33.42578125" hidden="1" customWidth="1"/>
    <col min="3" max="3" width="28.5703125" hidden="1" customWidth="1"/>
    <col min="4" max="4" width="0" hidden="1" customWidth="1"/>
    <col min="5" max="5" width="4.85546875" hidden="1" customWidth="1"/>
    <col min="6" max="6" width="23.140625" hidden="1" customWidth="1"/>
    <col min="7" max="7" width="14.28515625" customWidth="1"/>
    <col min="8" max="8" width="28" customWidth="1"/>
    <col min="9" max="9" width="41.85546875" customWidth="1"/>
    <col min="10" max="10" width="30.7109375" customWidth="1"/>
    <col min="11" max="11" width="16.85546875" customWidth="1"/>
    <col min="12" max="12" width="44.42578125" customWidth="1"/>
    <col min="13" max="13" width="18.5703125" customWidth="1"/>
    <col min="14" max="14" width="9.5703125" customWidth="1"/>
    <col min="15" max="15" width="9.85546875" customWidth="1"/>
    <col min="16" max="16" width="11.85546875" customWidth="1"/>
    <col min="17" max="17" width="10.42578125" customWidth="1"/>
    <col min="18" max="19" width="12" customWidth="1"/>
    <col min="20" max="20" width="12.140625" customWidth="1"/>
    <col min="21" max="21" width="13" customWidth="1"/>
    <col min="22" max="22" width="11.28515625" hidden="1" customWidth="1"/>
    <col min="23" max="23" width="8.85546875" hidden="1" customWidth="1"/>
    <col min="24" max="24" width="11.7109375" hidden="1" customWidth="1"/>
    <col min="25" max="26" width="0" hidden="1" customWidth="1"/>
  </cols>
  <sheetData>
    <row r="1" spans="7:21" ht="48.75" customHeight="1" x14ac:dyDescent="0.25">
      <c r="H1" s="16"/>
      <c r="I1" s="16" t="s">
        <v>0</v>
      </c>
      <c r="J1" s="91" t="s">
        <v>1012</v>
      </c>
      <c r="K1" s="91"/>
      <c r="L1" s="91"/>
      <c r="M1" s="16" t="s">
        <v>1</v>
      </c>
      <c r="N1" s="75" t="s">
        <v>177</v>
      </c>
      <c r="O1" s="75"/>
      <c r="P1" s="75"/>
      <c r="Q1" s="75"/>
      <c r="R1" s="75"/>
      <c r="S1" s="75"/>
      <c r="T1" s="75"/>
      <c r="U1" s="75"/>
    </row>
    <row r="2" spans="7:21" ht="15" customHeight="1" x14ac:dyDescent="0.25">
      <c r="G2" s="92" t="s">
        <v>91</v>
      </c>
      <c r="H2" s="92"/>
      <c r="I2" s="17" t="s">
        <v>6</v>
      </c>
      <c r="J2" s="85"/>
      <c r="K2" s="85"/>
      <c r="L2" s="85"/>
      <c r="M2" s="85"/>
      <c r="N2" s="85"/>
      <c r="O2" s="85"/>
      <c r="P2" s="85"/>
      <c r="Q2" s="85"/>
      <c r="R2" s="85"/>
      <c r="S2" s="85"/>
      <c r="T2" s="85"/>
      <c r="U2" s="85"/>
    </row>
    <row r="3" spans="7:21" x14ac:dyDescent="0.25">
      <c r="G3" s="92"/>
      <c r="H3" s="92"/>
      <c r="I3" s="17" t="s">
        <v>7</v>
      </c>
      <c r="J3" s="85"/>
      <c r="K3" s="85"/>
      <c r="L3" s="85"/>
      <c r="M3" s="85"/>
      <c r="N3" s="85"/>
      <c r="O3" s="85"/>
      <c r="P3" s="85"/>
      <c r="Q3" s="85"/>
      <c r="R3" s="85"/>
      <c r="S3" s="85"/>
      <c r="T3" s="85"/>
      <c r="U3" s="85"/>
    </row>
    <row r="4" spans="7:21" ht="15" customHeight="1" x14ac:dyDescent="0.25">
      <c r="G4" s="83" t="s">
        <v>92</v>
      </c>
      <c r="H4" s="83"/>
      <c r="I4" s="18" t="s">
        <v>8</v>
      </c>
      <c r="J4" s="180"/>
      <c r="K4" s="181"/>
      <c r="L4" s="181"/>
      <c r="M4" s="181"/>
      <c r="N4" s="181"/>
      <c r="O4" s="181"/>
      <c r="P4" s="181"/>
      <c r="Q4" s="181"/>
      <c r="R4" s="181"/>
      <c r="S4" s="181"/>
      <c r="T4" s="181"/>
      <c r="U4" s="182"/>
    </row>
    <row r="5" spans="7:21" ht="15" customHeight="1" x14ac:dyDescent="0.25">
      <c r="G5" s="83"/>
      <c r="H5" s="83"/>
      <c r="I5" s="18" t="s">
        <v>9</v>
      </c>
      <c r="J5" s="183"/>
      <c r="K5" s="184"/>
      <c r="L5" s="184"/>
      <c r="M5" s="184"/>
      <c r="N5" s="184"/>
      <c r="O5" s="184"/>
      <c r="P5" s="184"/>
      <c r="Q5" s="184"/>
      <c r="R5" s="184"/>
      <c r="S5" s="184"/>
      <c r="T5" s="184"/>
      <c r="U5" s="185"/>
    </row>
    <row r="6" spans="7:21" ht="15" customHeight="1" x14ac:dyDescent="0.25">
      <c r="G6" s="86" t="s">
        <v>2</v>
      </c>
      <c r="H6" s="87"/>
      <c r="I6" s="87"/>
      <c r="J6" s="87"/>
      <c r="K6" s="87"/>
      <c r="L6" s="87"/>
      <c r="M6" s="88"/>
      <c r="N6" s="89" t="s">
        <v>3</v>
      </c>
      <c r="O6" s="90"/>
      <c r="P6" s="90"/>
      <c r="Q6" s="90"/>
      <c r="R6" s="90"/>
      <c r="S6" s="90"/>
      <c r="T6" s="90"/>
      <c r="U6" s="79"/>
    </row>
    <row r="7" spans="7:21" ht="24.75" customHeight="1" x14ac:dyDescent="0.25">
      <c r="G7" s="140" t="s">
        <v>10</v>
      </c>
      <c r="H7" s="140" t="s">
        <v>11</v>
      </c>
      <c r="I7" s="140" t="s">
        <v>12</v>
      </c>
      <c r="J7" s="140" t="s">
        <v>94</v>
      </c>
      <c r="K7" s="141" t="s">
        <v>13</v>
      </c>
      <c r="L7" s="140" t="s">
        <v>14</v>
      </c>
      <c r="M7" s="142" t="s">
        <v>95</v>
      </c>
      <c r="N7" s="79" t="s">
        <v>4</v>
      </c>
      <c r="O7" s="80"/>
      <c r="P7" s="80"/>
      <c r="Q7" s="80"/>
      <c r="R7" s="80" t="s">
        <v>5</v>
      </c>
      <c r="S7" s="80"/>
      <c r="T7" s="80"/>
      <c r="U7" s="80"/>
    </row>
    <row r="8" spans="7:21" x14ac:dyDescent="0.25">
      <c r="G8" s="143"/>
      <c r="H8" s="143"/>
      <c r="I8" s="143"/>
      <c r="J8" s="143"/>
      <c r="K8" s="144"/>
      <c r="L8" s="143"/>
      <c r="M8" s="145"/>
      <c r="N8" s="25" t="s">
        <v>15</v>
      </c>
      <c r="O8" s="25" t="s">
        <v>16</v>
      </c>
      <c r="P8" s="25" t="s">
        <v>17</v>
      </c>
      <c r="Q8" s="25" t="s">
        <v>18</v>
      </c>
      <c r="R8" s="25" t="s">
        <v>15</v>
      </c>
      <c r="S8" s="25" t="s">
        <v>16</v>
      </c>
      <c r="T8" s="25" t="s">
        <v>17</v>
      </c>
      <c r="U8" s="26" t="s">
        <v>18</v>
      </c>
    </row>
    <row r="9" spans="7:21" ht="18" customHeight="1" x14ac:dyDescent="0.25">
      <c r="G9" s="72" t="s">
        <v>1013</v>
      </c>
      <c r="H9" s="205" t="s">
        <v>89</v>
      </c>
      <c r="I9" s="1059" t="s">
        <v>550</v>
      </c>
      <c r="J9" s="75"/>
      <c r="K9" s="236">
        <v>710105</v>
      </c>
      <c r="L9" s="1060" t="s">
        <v>125</v>
      </c>
      <c r="M9" s="1">
        <v>29088</v>
      </c>
      <c r="N9" s="1"/>
      <c r="O9" s="1"/>
      <c r="P9" s="1"/>
      <c r="Q9" s="1"/>
      <c r="R9" s="1"/>
      <c r="S9" s="1"/>
      <c r="T9" s="1"/>
      <c r="U9" s="1"/>
    </row>
    <row r="10" spans="7:21" ht="18" customHeight="1" x14ac:dyDescent="0.25">
      <c r="G10" s="72"/>
      <c r="H10" s="205"/>
      <c r="I10" s="1059"/>
      <c r="J10" s="75"/>
      <c r="K10" s="236">
        <v>710510</v>
      </c>
      <c r="L10" s="1060" t="s">
        <v>20</v>
      </c>
      <c r="M10" s="1">
        <v>29088</v>
      </c>
      <c r="N10" s="1"/>
      <c r="O10" s="1"/>
      <c r="P10" s="1"/>
      <c r="Q10" s="1"/>
      <c r="R10" s="1"/>
      <c r="S10" s="1"/>
      <c r="T10" s="1"/>
      <c r="U10" s="1"/>
    </row>
    <row r="11" spans="7:21" ht="18" customHeight="1" x14ac:dyDescent="0.25">
      <c r="G11" s="72"/>
      <c r="H11" s="205"/>
      <c r="I11" s="1059"/>
      <c r="J11" s="75"/>
      <c r="K11" s="236">
        <v>710203</v>
      </c>
      <c r="L11" s="1060" t="s">
        <v>162</v>
      </c>
      <c r="M11" s="1">
        <v>4848</v>
      </c>
      <c r="N11" s="1"/>
      <c r="O11" s="1"/>
      <c r="P11" s="1"/>
      <c r="Q11" s="1"/>
      <c r="R11" s="1"/>
      <c r="S11" s="1"/>
      <c r="T11" s="1"/>
      <c r="U11" s="1"/>
    </row>
    <row r="12" spans="7:21" ht="18" customHeight="1" x14ac:dyDescent="0.25">
      <c r="G12" s="72"/>
      <c r="H12" s="205"/>
      <c r="I12" s="1059"/>
      <c r="J12" s="75"/>
      <c r="K12" s="236">
        <v>710204</v>
      </c>
      <c r="L12" s="1060" t="s">
        <v>163</v>
      </c>
      <c r="M12" s="1">
        <v>1700</v>
      </c>
      <c r="N12" s="1"/>
      <c r="O12" s="1"/>
      <c r="P12" s="1"/>
      <c r="Q12" s="1"/>
      <c r="R12" s="1"/>
      <c r="S12" s="1"/>
      <c r="T12" s="1"/>
      <c r="U12" s="1"/>
    </row>
    <row r="13" spans="7:21" ht="18" customHeight="1" x14ac:dyDescent="0.25">
      <c r="G13" s="72"/>
      <c r="H13" s="205"/>
      <c r="I13" s="1059"/>
      <c r="J13" s="75"/>
      <c r="K13" s="236">
        <v>710601</v>
      </c>
      <c r="L13" s="1060" t="s">
        <v>86</v>
      </c>
      <c r="M13" s="1">
        <v>6777.5</v>
      </c>
      <c r="N13" s="1"/>
      <c r="O13" s="1"/>
      <c r="P13" s="1"/>
      <c r="Q13" s="1"/>
      <c r="R13" s="1"/>
      <c r="S13" s="1"/>
      <c r="T13" s="1"/>
      <c r="U13" s="1"/>
    </row>
    <row r="14" spans="7:21" ht="18" customHeight="1" x14ac:dyDescent="0.25">
      <c r="G14" s="72"/>
      <c r="H14" s="205"/>
      <c r="I14" s="1059"/>
      <c r="J14" s="75"/>
      <c r="K14" s="236">
        <v>710602</v>
      </c>
      <c r="L14" s="1060" t="s">
        <v>128</v>
      </c>
      <c r="M14" s="1">
        <v>4848</v>
      </c>
      <c r="N14" s="1"/>
      <c r="O14" s="1"/>
      <c r="P14" s="1"/>
      <c r="Q14" s="1"/>
      <c r="R14" s="1"/>
      <c r="S14" s="1"/>
      <c r="T14" s="1"/>
      <c r="U14" s="1"/>
    </row>
    <row r="15" spans="7:21" ht="31.5" customHeight="1" x14ac:dyDescent="0.25">
      <c r="G15" s="72"/>
      <c r="H15" s="205"/>
      <c r="I15" s="1059"/>
      <c r="J15" s="75"/>
      <c r="K15" s="1">
        <v>710707</v>
      </c>
      <c r="L15" s="14" t="s">
        <v>52</v>
      </c>
      <c r="M15" s="1">
        <v>1000</v>
      </c>
      <c r="N15" s="1"/>
      <c r="O15" s="1"/>
      <c r="P15" s="1"/>
      <c r="Q15" s="1"/>
      <c r="R15" s="1"/>
      <c r="S15" s="1"/>
      <c r="T15" s="1"/>
      <c r="U15" s="1"/>
    </row>
    <row r="16" spans="7:21" ht="18" customHeight="1" x14ac:dyDescent="0.25">
      <c r="G16" s="72"/>
      <c r="H16" s="205"/>
      <c r="I16" s="72" t="s">
        <v>1014</v>
      </c>
      <c r="J16" s="75"/>
      <c r="K16" s="15">
        <v>840107</v>
      </c>
      <c r="L16" s="4" t="s">
        <v>1015</v>
      </c>
      <c r="M16" s="845">
        <v>1400</v>
      </c>
      <c r="N16" s="1"/>
      <c r="O16" s="1"/>
      <c r="P16" s="1"/>
      <c r="Q16" s="1"/>
      <c r="R16" s="1"/>
      <c r="S16" s="1"/>
      <c r="T16" s="1"/>
      <c r="U16" s="1"/>
    </row>
    <row r="17" spans="7:21" ht="18" customHeight="1" x14ac:dyDescent="0.25">
      <c r="G17" s="72"/>
      <c r="H17" s="205"/>
      <c r="I17" s="72"/>
      <c r="J17" s="75"/>
      <c r="K17" s="1">
        <v>730804</v>
      </c>
      <c r="L17" s="15" t="s">
        <v>814</v>
      </c>
      <c r="M17" s="1">
        <v>350</v>
      </c>
      <c r="N17" s="1"/>
      <c r="O17" s="1"/>
      <c r="P17" s="1"/>
      <c r="Q17" s="1"/>
      <c r="R17" s="1"/>
      <c r="S17" s="1"/>
      <c r="T17" s="1"/>
      <c r="U17" s="1"/>
    </row>
    <row r="18" spans="7:21" ht="18" customHeight="1" x14ac:dyDescent="0.25">
      <c r="G18" s="72"/>
      <c r="H18" s="74" t="s">
        <v>1016</v>
      </c>
      <c r="I18" s="75" t="s">
        <v>1017</v>
      </c>
      <c r="J18" s="75"/>
      <c r="K18" s="1">
        <v>730605</v>
      </c>
      <c r="L18" s="14" t="s">
        <v>1018</v>
      </c>
      <c r="M18" s="1">
        <v>100</v>
      </c>
      <c r="N18" s="1"/>
      <c r="O18" s="1"/>
      <c r="P18" s="1"/>
      <c r="Q18" s="1"/>
      <c r="R18" s="1"/>
      <c r="S18" s="1"/>
      <c r="T18" s="1"/>
      <c r="U18" s="1"/>
    </row>
    <row r="19" spans="7:21" ht="18" customHeight="1" x14ac:dyDescent="0.25">
      <c r="G19" s="72"/>
      <c r="H19" s="74"/>
      <c r="I19" s="75"/>
      <c r="J19" s="75"/>
      <c r="K19" s="1">
        <v>730606</v>
      </c>
      <c r="L19" s="1" t="s">
        <v>1019</v>
      </c>
      <c r="M19" s="1">
        <v>1000</v>
      </c>
      <c r="N19" s="1"/>
      <c r="O19" s="1"/>
      <c r="P19" s="1"/>
      <c r="Q19" s="1"/>
      <c r="R19" s="1"/>
      <c r="S19" s="1"/>
      <c r="T19" s="1"/>
      <c r="U19" s="1"/>
    </row>
    <row r="20" spans="7:21" ht="18" customHeight="1" x14ac:dyDescent="0.45">
      <c r="H20" s="1061"/>
      <c r="M20" s="1062">
        <f>SUM(M9:M19)</f>
        <v>80199.5</v>
      </c>
    </row>
    <row r="21" spans="7:21" ht="18" customHeight="1" x14ac:dyDescent="0.45">
      <c r="H21" s="1061"/>
    </row>
    <row r="22" spans="7:21" ht="18" customHeight="1" x14ac:dyDescent="0.45">
      <c r="H22" s="1061"/>
    </row>
    <row r="23" spans="7:21" ht="18" customHeight="1" x14ac:dyDescent="0.45">
      <c r="H23" s="1061"/>
    </row>
    <row r="24" spans="7:21" ht="18" customHeight="1" x14ac:dyDescent="0.45">
      <c r="H24" s="1061"/>
    </row>
    <row r="25" spans="7:21" ht="18" customHeight="1" x14ac:dyDescent="0.45">
      <c r="H25" s="1061"/>
    </row>
  </sheetData>
  <mergeCells count="26">
    <mergeCell ref="R7:U7"/>
    <mergeCell ref="G9:G19"/>
    <mergeCell ref="H9:H17"/>
    <mergeCell ref="I9:I15"/>
    <mergeCell ref="J9:J19"/>
    <mergeCell ref="I16:I17"/>
    <mergeCell ref="H18:H19"/>
    <mergeCell ref="I18:I19"/>
    <mergeCell ref="G6:M6"/>
    <mergeCell ref="N6:U6"/>
    <mergeCell ref="G7:G8"/>
    <mergeCell ref="H7:H8"/>
    <mergeCell ref="I7:I8"/>
    <mergeCell ref="J7:J8"/>
    <mergeCell ref="K7:K8"/>
    <mergeCell ref="L7:L8"/>
    <mergeCell ref="M7:M8"/>
    <mergeCell ref="N7:Q7"/>
    <mergeCell ref="J1:L1"/>
    <mergeCell ref="N1:U1"/>
    <mergeCell ref="G2:H3"/>
    <mergeCell ref="J2:U2"/>
    <mergeCell ref="J3:U3"/>
    <mergeCell ref="G4:H5"/>
    <mergeCell ref="J4:U4"/>
    <mergeCell ref="J5:U5"/>
  </mergeCells>
  <pageMargins left="0.11811023622047245" right="0.11811023622047245" top="0.74803149606299213" bottom="0.74803149606299213" header="0.31496062992125984" footer="0.31496062992125984"/>
  <pageSetup paperSize="9" scale="91"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9AB2-35EA-4DB2-95EB-497027A195C6}">
  <dimension ref="A2:AB29"/>
  <sheetViews>
    <sheetView topLeftCell="A4" zoomScale="70" zoomScaleNormal="70" workbookViewId="0">
      <selection activeCell="H28" sqref="H28"/>
    </sheetView>
  </sheetViews>
  <sheetFormatPr baseColWidth="10" defaultRowHeight="15" x14ac:dyDescent="0.25"/>
  <cols>
    <col min="1" max="1" width="14.28515625" customWidth="1"/>
    <col min="2" max="2" width="32.85546875" customWidth="1"/>
    <col min="3" max="3" width="41.85546875" customWidth="1"/>
    <col min="4" max="4" width="30.7109375" customWidth="1"/>
    <col min="5" max="5" width="16.85546875" customWidth="1"/>
    <col min="6" max="6" width="44.42578125" customWidth="1"/>
    <col min="7" max="9" width="18.5703125" customWidth="1"/>
    <col min="10" max="12" width="5.140625" customWidth="1"/>
    <col min="13" max="13" width="6.42578125" customWidth="1"/>
    <col min="14" max="14" width="11.140625" customWidth="1"/>
    <col min="15" max="15" width="10.85546875" customWidth="1"/>
    <col min="16" max="16" width="9.85546875" customWidth="1"/>
    <col min="17" max="17" width="13" customWidth="1"/>
    <col min="20" max="20" width="35" customWidth="1"/>
  </cols>
  <sheetData>
    <row r="2" spans="1:28" ht="60" customHeight="1" x14ac:dyDescent="0.25">
      <c r="A2" s="81"/>
      <c r="B2" s="82"/>
      <c r="C2" s="16" t="s">
        <v>0</v>
      </c>
      <c r="D2" s="91" t="s">
        <v>119</v>
      </c>
      <c r="E2" s="91"/>
      <c r="F2" s="91"/>
      <c r="G2" s="16" t="s">
        <v>1</v>
      </c>
      <c r="H2" s="16"/>
      <c r="I2" s="16"/>
      <c r="J2" s="75"/>
      <c r="K2" s="75"/>
      <c r="L2" s="75"/>
      <c r="M2" s="75"/>
      <c r="N2" s="75"/>
      <c r="O2" s="75"/>
      <c r="P2" s="75"/>
      <c r="Q2" s="75"/>
    </row>
    <row r="3" spans="1:28" ht="30" customHeight="1" x14ac:dyDescent="0.25">
      <c r="A3" s="92" t="s">
        <v>91</v>
      </c>
      <c r="B3" s="92"/>
      <c r="C3" s="17" t="s">
        <v>6</v>
      </c>
      <c r="D3" s="85"/>
      <c r="E3" s="85"/>
      <c r="F3" s="85"/>
      <c r="G3" s="85"/>
      <c r="H3" s="85"/>
      <c r="I3" s="85"/>
      <c r="J3" s="85"/>
      <c r="K3" s="85"/>
      <c r="L3" s="85"/>
      <c r="M3" s="85"/>
      <c r="N3" s="85"/>
      <c r="O3" s="85"/>
      <c r="P3" s="85"/>
      <c r="Q3" s="85"/>
    </row>
    <row r="4" spans="1:28" ht="30" customHeight="1" x14ac:dyDescent="0.25">
      <c r="A4" s="92"/>
      <c r="B4" s="92"/>
      <c r="C4" s="17" t="s">
        <v>7</v>
      </c>
      <c r="D4" s="85"/>
      <c r="E4" s="85"/>
      <c r="F4" s="85"/>
      <c r="G4" s="85"/>
      <c r="H4" s="85"/>
      <c r="I4" s="85"/>
      <c r="J4" s="85"/>
      <c r="K4" s="85"/>
      <c r="L4" s="85"/>
      <c r="M4" s="85"/>
      <c r="N4" s="85"/>
      <c r="O4" s="85"/>
      <c r="P4" s="85"/>
      <c r="Q4" s="85"/>
    </row>
    <row r="5" spans="1:28" ht="30" customHeight="1" x14ac:dyDescent="0.25">
      <c r="A5" s="83" t="s">
        <v>92</v>
      </c>
      <c r="B5" s="83"/>
      <c r="C5" s="18" t="s">
        <v>8</v>
      </c>
      <c r="D5" s="84" t="s">
        <v>93</v>
      </c>
      <c r="E5" s="84"/>
      <c r="F5" s="84"/>
      <c r="G5" s="84"/>
      <c r="H5" s="84"/>
      <c r="I5" s="84"/>
      <c r="J5" s="84"/>
      <c r="K5" s="84"/>
      <c r="L5" s="84"/>
      <c r="M5" s="84"/>
      <c r="N5" s="84"/>
      <c r="O5" s="84"/>
      <c r="P5" s="84"/>
      <c r="Q5" s="84"/>
    </row>
    <row r="6" spans="1:28" ht="30" customHeight="1" x14ac:dyDescent="0.25">
      <c r="A6" s="83"/>
      <c r="B6" s="83"/>
      <c r="C6" s="18" t="s">
        <v>9</v>
      </c>
      <c r="D6" s="84" t="s">
        <v>120</v>
      </c>
      <c r="E6" s="84"/>
      <c r="F6" s="84"/>
      <c r="G6" s="84"/>
      <c r="H6" s="84"/>
      <c r="I6" s="84"/>
      <c r="J6" s="84"/>
      <c r="K6" s="84"/>
      <c r="L6" s="84"/>
      <c r="M6" s="84"/>
      <c r="N6" s="84"/>
      <c r="O6" s="84"/>
      <c r="P6" s="84"/>
      <c r="Q6" s="84"/>
    </row>
    <row r="7" spans="1:28" ht="30" customHeight="1" x14ac:dyDescent="0.25">
      <c r="A7" s="86" t="s">
        <v>2</v>
      </c>
      <c r="B7" s="87"/>
      <c r="C7" s="87"/>
      <c r="D7" s="87"/>
      <c r="E7" s="87"/>
      <c r="F7" s="87"/>
      <c r="G7" s="87"/>
      <c r="H7" s="87"/>
      <c r="I7" s="88"/>
      <c r="J7" s="89" t="s">
        <v>3</v>
      </c>
      <c r="K7" s="90"/>
      <c r="L7" s="90"/>
      <c r="M7" s="90"/>
      <c r="N7" s="90"/>
      <c r="O7" s="90"/>
      <c r="P7" s="90"/>
      <c r="Q7" s="79"/>
      <c r="R7" s="98"/>
      <c r="S7" s="98"/>
      <c r="T7" s="99"/>
      <c r="U7" s="100"/>
      <c r="V7" s="100"/>
      <c r="W7" s="100"/>
      <c r="X7" s="100"/>
      <c r="Y7" s="100"/>
      <c r="Z7" s="100"/>
      <c r="AA7" s="100"/>
      <c r="AB7" s="100"/>
    </row>
    <row r="8" spans="1:28" ht="30" customHeight="1" x14ac:dyDescent="0.25">
      <c r="A8" s="19"/>
      <c r="B8" s="19"/>
      <c r="C8" s="19"/>
      <c r="D8" s="19"/>
      <c r="E8" s="20"/>
      <c r="F8" s="19"/>
      <c r="G8" s="19"/>
      <c r="H8" s="89" t="s">
        <v>121</v>
      </c>
      <c r="I8" s="79"/>
      <c r="J8" s="79" t="s">
        <v>4</v>
      </c>
      <c r="K8" s="80"/>
      <c r="L8" s="80"/>
      <c r="M8" s="80"/>
      <c r="N8" s="80" t="s">
        <v>5</v>
      </c>
      <c r="O8" s="80"/>
      <c r="P8" s="80"/>
      <c r="Q8" s="80"/>
      <c r="R8" s="101"/>
      <c r="S8" s="101"/>
      <c r="T8" s="99"/>
      <c r="U8" s="100"/>
      <c r="V8" s="100"/>
      <c r="W8" s="100"/>
      <c r="X8" s="100"/>
      <c r="Y8" s="100"/>
      <c r="Z8" s="100"/>
      <c r="AA8" s="100"/>
      <c r="AB8" s="100"/>
    </row>
    <row r="9" spans="1:28" ht="30" customHeight="1" x14ac:dyDescent="0.25">
      <c r="A9" s="21" t="s">
        <v>10</v>
      </c>
      <c r="B9" s="21" t="s">
        <v>11</v>
      </c>
      <c r="C9" s="22" t="s">
        <v>12</v>
      </c>
      <c r="D9" s="21" t="s">
        <v>94</v>
      </c>
      <c r="E9" s="23" t="s">
        <v>13</v>
      </c>
      <c r="F9" s="21" t="s">
        <v>14</v>
      </c>
      <c r="G9" s="24" t="s">
        <v>95</v>
      </c>
      <c r="H9" s="24" t="s">
        <v>122</v>
      </c>
      <c r="I9" s="24" t="s">
        <v>118</v>
      </c>
      <c r="J9" s="25" t="s">
        <v>15</v>
      </c>
      <c r="K9" s="25" t="s">
        <v>16</v>
      </c>
      <c r="L9" s="25" t="s">
        <v>17</v>
      </c>
      <c r="M9" s="25" t="s">
        <v>18</v>
      </c>
      <c r="N9" s="25" t="s">
        <v>15</v>
      </c>
      <c r="O9" s="25" t="s">
        <v>16</v>
      </c>
      <c r="P9" s="25" t="s">
        <v>17</v>
      </c>
      <c r="Q9" s="26" t="s">
        <v>18</v>
      </c>
      <c r="R9" s="101"/>
      <c r="S9" s="99"/>
      <c r="T9" s="100"/>
      <c r="U9" s="100"/>
      <c r="V9" s="100"/>
      <c r="W9" s="100"/>
      <c r="X9" s="100"/>
      <c r="Y9" s="100"/>
      <c r="Z9" s="100"/>
      <c r="AA9" s="100"/>
      <c r="AB9" s="100"/>
    </row>
    <row r="10" spans="1:28" ht="30" customHeight="1" x14ac:dyDescent="0.25">
      <c r="A10" s="102"/>
      <c r="B10" s="102" t="s">
        <v>123</v>
      </c>
      <c r="C10" s="102" t="s">
        <v>124</v>
      </c>
      <c r="D10" s="77"/>
      <c r="E10" s="103">
        <v>710105</v>
      </c>
      <c r="F10" s="104" t="s">
        <v>125</v>
      </c>
      <c r="G10" s="1">
        <v>47235</v>
      </c>
      <c r="H10" s="1"/>
      <c r="I10" s="1"/>
      <c r="J10" s="1"/>
      <c r="K10" s="1"/>
      <c r="L10" s="1"/>
      <c r="M10" s="1"/>
      <c r="N10" s="1"/>
      <c r="O10" s="1"/>
      <c r="P10" s="105"/>
      <c r="Q10" s="105"/>
      <c r="S10" s="106" t="s">
        <v>126</v>
      </c>
    </row>
    <row r="11" spans="1:28" ht="30" customHeight="1" x14ac:dyDescent="0.25">
      <c r="A11" s="107"/>
      <c r="B11" s="107"/>
      <c r="C11" s="107"/>
      <c r="D11" s="77"/>
      <c r="E11" s="108">
        <v>710203</v>
      </c>
      <c r="F11" s="109" t="s">
        <v>84</v>
      </c>
      <c r="G11" s="110">
        <v>3936.25</v>
      </c>
      <c r="H11" s="110"/>
      <c r="I11" s="110"/>
      <c r="J11" s="1"/>
      <c r="K11" s="111"/>
      <c r="L11" s="1"/>
      <c r="M11" s="1"/>
      <c r="N11" s="111"/>
      <c r="O11" s="1"/>
      <c r="P11" s="105"/>
      <c r="Q11" s="105"/>
      <c r="S11" s="112"/>
    </row>
    <row r="12" spans="1:28" ht="30" customHeight="1" x14ac:dyDescent="0.25">
      <c r="A12" s="107"/>
      <c r="B12" s="107"/>
      <c r="C12" s="107"/>
      <c r="D12" s="77"/>
      <c r="E12" s="108">
        <v>710204</v>
      </c>
      <c r="F12" s="109" t="s">
        <v>127</v>
      </c>
      <c r="G12" s="110">
        <v>1700</v>
      </c>
      <c r="H12" s="110"/>
      <c r="I12" s="110"/>
      <c r="J12" s="1"/>
      <c r="K12" s="111"/>
      <c r="L12" s="1"/>
      <c r="M12" s="1"/>
      <c r="N12" s="111"/>
      <c r="O12" s="1"/>
      <c r="P12" s="105"/>
      <c r="Q12" s="105"/>
      <c r="S12" s="112"/>
    </row>
    <row r="13" spans="1:28" ht="30" customHeight="1" x14ac:dyDescent="0.25">
      <c r="A13" s="107"/>
      <c r="B13" s="107"/>
      <c r="C13" s="107"/>
      <c r="D13" s="77"/>
      <c r="E13" s="108">
        <v>710601</v>
      </c>
      <c r="F13" s="109" t="s">
        <v>86</v>
      </c>
      <c r="G13" s="110">
        <v>5502.88</v>
      </c>
      <c r="H13" s="110"/>
      <c r="I13" s="110"/>
      <c r="J13" s="1"/>
      <c r="K13" s="111"/>
      <c r="L13" s="1"/>
      <c r="M13" s="1"/>
      <c r="N13" s="111"/>
      <c r="O13" s="1"/>
      <c r="P13" s="105"/>
      <c r="Q13" s="105"/>
      <c r="S13" s="112"/>
    </row>
    <row r="14" spans="1:28" ht="30" customHeight="1" x14ac:dyDescent="0.25">
      <c r="A14" s="107"/>
      <c r="B14" s="107"/>
      <c r="C14" s="107"/>
      <c r="D14" s="77"/>
      <c r="E14" s="108">
        <v>710602</v>
      </c>
      <c r="F14" s="109" t="s">
        <v>128</v>
      </c>
      <c r="G14" s="110">
        <v>3936.25</v>
      </c>
      <c r="H14" s="110"/>
      <c r="I14" s="110"/>
      <c r="J14" s="1"/>
      <c r="K14" s="111"/>
      <c r="L14" s="1"/>
      <c r="M14" s="1"/>
      <c r="N14" s="111"/>
      <c r="O14" s="1"/>
      <c r="P14" s="105"/>
      <c r="Q14" s="105"/>
      <c r="S14" s="112"/>
    </row>
    <row r="15" spans="1:28" ht="30" customHeight="1" x14ac:dyDescent="0.25">
      <c r="A15" s="107"/>
      <c r="B15" s="107"/>
      <c r="C15" s="107"/>
      <c r="D15" s="77"/>
      <c r="E15" s="108">
        <v>730804</v>
      </c>
      <c r="F15" s="109" t="s">
        <v>129</v>
      </c>
      <c r="G15" s="110">
        <v>4000</v>
      </c>
      <c r="H15" s="110"/>
      <c r="I15" s="110"/>
      <c r="J15" s="1"/>
      <c r="K15" s="1"/>
      <c r="L15" s="1"/>
      <c r="M15" s="1"/>
      <c r="N15" s="111"/>
      <c r="O15" s="1"/>
      <c r="P15" s="105"/>
      <c r="Q15" s="105"/>
      <c r="S15" s="112"/>
      <c r="T15" s="111" t="s">
        <v>130</v>
      </c>
    </row>
    <row r="16" spans="1:28" ht="30" customHeight="1" x14ac:dyDescent="0.25">
      <c r="A16" s="107"/>
      <c r="B16" s="107"/>
      <c r="C16" s="107"/>
      <c r="D16" s="77"/>
      <c r="E16" s="108">
        <v>730612</v>
      </c>
      <c r="F16" s="109" t="s">
        <v>131</v>
      </c>
      <c r="G16" s="110">
        <v>1000</v>
      </c>
      <c r="H16" s="110">
        <v>-999</v>
      </c>
      <c r="I16" s="113">
        <f t="shared" ref="I16:I23" si="0">+G16+H16</f>
        <v>1</v>
      </c>
      <c r="J16" s="1"/>
      <c r="K16" s="111"/>
      <c r="L16" s="1"/>
      <c r="M16" s="1"/>
      <c r="N16" s="111"/>
      <c r="O16" s="1"/>
      <c r="P16" s="105"/>
      <c r="Q16" s="105"/>
      <c r="S16" s="112"/>
    </row>
    <row r="17" spans="1:20" ht="30" customHeight="1" x14ac:dyDescent="0.25">
      <c r="A17" s="107"/>
      <c r="B17" s="107"/>
      <c r="C17" s="107"/>
      <c r="D17" s="77"/>
      <c r="E17" s="108">
        <v>730303</v>
      </c>
      <c r="F17" s="109" t="s">
        <v>132</v>
      </c>
      <c r="G17" s="113">
        <v>300</v>
      </c>
      <c r="H17" s="113"/>
      <c r="I17" s="113">
        <f t="shared" si="0"/>
        <v>300</v>
      </c>
      <c r="J17" s="1"/>
      <c r="K17" s="1"/>
      <c r="L17" s="1"/>
      <c r="M17" s="1"/>
      <c r="N17" s="111"/>
      <c r="O17" s="1"/>
      <c r="P17" s="114"/>
      <c r="Q17" s="115"/>
      <c r="S17" s="112"/>
      <c r="T17" s="116" t="s">
        <v>133</v>
      </c>
    </row>
    <row r="18" spans="1:20" ht="30" customHeight="1" x14ac:dyDescent="0.25">
      <c r="A18" s="107"/>
      <c r="B18" s="107"/>
      <c r="C18" s="117"/>
      <c r="D18" s="77"/>
      <c r="E18" s="108">
        <v>730301</v>
      </c>
      <c r="F18" s="118" t="s">
        <v>72</v>
      </c>
      <c r="G18" s="119">
        <v>100</v>
      </c>
      <c r="H18" s="119"/>
      <c r="I18" s="113">
        <f t="shared" si="0"/>
        <v>100</v>
      </c>
      <c r="J18" s="1"/>
      <c r="K18" s="1"/>
      <c r="L18" s="1"/>
      <c r="M18" s="1"/>
      <c r="N18" s="111"/>
      <c r="O18" s="1"/>
      <c r="P18" s="114"/>
      <c r="Q18" s="115"/>
      <c r="S18" s="120"/>
      <c r="T18" s="116"/>
    </row>
    <row r="19" spans="1:20" ht="30" customHeight="1" x14ac:dyDescent="0.25">
      <c r="A19" s="107"/>
      <c r="B19" s="107"/>
      <c r="C19" s="121" t="s">
        <v>134</v>
      </c>
      <c r="D19" s="77"/>
      <c r="E19" s="122">
        <v>730813</v>
      </c>
      <c r="F19" s="109" t="s">
        <v>26</v>
      </c>
      <c r="G19" s="110">
        <v>1000</v>
      </c>
      <c r="H19" s="110">
        <v>1998</v>
      </c>
      <c r="I19" s="113">
        <f t="shared" si="0"/>
        <v>2998</v>
      </c>
      <c r="J19" s="1"/>
      <c r="K19" s="1"/>
      <c r="L19" s="1"/>
      <c r="M19" s="1"/>
      <c r="N19" s="111"/>
      <c r="O19" s="1"/>
      <c r="P19" s="114"/>
      <c r="Q19" s="115"/>
      <c r="S19" s="123" t="s">
        <v>135</v>
      </c>
      <c r="T19" s="124" t="s">
        <v>136</v>
      </c>
    </row>
    <row r="20" spans="1:20" ht="30" customHeight="1" x14ac:dyDescent="0.25">
      <c r="A20" s="107"/>
      <c r="B20" s="107"/>
      <c r="C20" s="125"/>
      <c r="D20" s="77"/>
      <c r="E20" s="122">
        <v>840107</v>
      </c>
      <c r="F20" s="109" t="s">
        <v>137</v>
      </c>
      <c r="G20" s="110">
        <v>8000</v>
      </c>
      <c r="H20" s="110">
        <v>6500</v>
      </c>
      <c r="I20" s="113">
        <f t="shared" si="0"/>
        <v>14500</v>
      </c>
      <c r="J20" s="1"/>
      <c r="K20" s="1"/>
      <c r="L20" s="1"/>
      <c r="M20" s="1"/>
      <c r="N20" s="111"/>
      <c r="O20" s="1"/>
      <c r="P20" s="114"/>
      <c r="Q20" s="115"/>
      <c r="S20" s="123"/>
      <c r="T20" s="124"/>
    </row>
    <row r="21" spans="1:20" ht="30" customHeight="1" x14ac:dyDescent="0.25">
      <c r="A21" s="107"/>
      <c r="B21" s="107"/>
      <c r="C21" s="125"/>
      <c r="D21" s="77"/>
      <c r="E21" s="108">
        <v>730704</v>
      </c>
      <c r="F21" s="109" t="s">
        <v>138</v>
      </c>
      <c r="G21" s="110">
        <v>1000</v>
      </c>
      <c r="H21" s="110">
        <v>-999</v>
      </c>
      <c r="I21" s="113">
        <f t="shared" si="0"/>
        <v>1</v>
      </c>
      <c r="J21" s="1"/>
      <c r="K21" s="1"/>
      <c r="L21" s="1"/>
      <c r="M21" s="1"/>
      <c r="N21" s="111"/>
      <c r="O21" s="1"/>
      <c r="P21" s="114"/>
      <c r="Q21" s="115"/>
      <c r="S21" s="123"/>
      <c r="T21" s="124"/>
    </row>
    <row r="22" spans="1:20" ht="30" customHeight="1" x14ac:dyDescent="0.25">
      <c r="A22" s="107"/>
      <c r="B22" s="107"/>
      <c r="C22" s="125"/>
      <c r="D22" s="77"/>
      <c r="E22" s="108">
        <v>840103</v>
      </c>
      <c r="F22" s="109" t="s">
        <v>139</v>
      </c>
      <c r="G22" s="110">
        <v>1200</v>
      </c>
      <c r="H22" s="110"/>
      <c r="I22" s="113">
        <f t="shared" si="0"/>
        <v>1200</v>
      </c>
      <c r="J22" s="1"/>
      <c r="K22" s="1"/>
      <c r="L22" s="1"/>
      <c r="M22" s="1"/>
      <c r="N22" s="111"/>
      <c r="O22" s="1"/>
      <c r="P22" s="114"/>
      <c r="Q22" s="115"/>
      <c r="S22" s="123" t="s">
        <v>140</v>
      </c>
    </row>
    <row r="23" spans="1:20" ht="30" customHeight="1" x14ac:dyDescent="0.25">
      <c r="A23" s="107"/>
      <c r="B23" s="117"/>
      <c r="C23" s="126"/>
      <c r="D23" s="78"/>
      <c r="E23" s="108">
        <v>730404</v>
      </c>
      <c r="F23" s="109" t="s">
        <v>141</v>
      </c>
      <c r="G23" s="113">
        <v>500</v>
      </c>
      <c r="H23" s="113"/>
      <c r="I23" s="113">
        <f t="shared" si="0"/>
        <v>500</v>
      </c>
      <c r="J23" s="1"/>
      <c r="K23" s="1"/>
      <c r="L23" s="1"/>
      <c r="M23" s="1"/>
      <c r="N23" s="111"/>
      <c r="O23" s="1"/>
      <c r="P23" s="114"/>
      <c r="Q23" s="115"/>
      <c r="S23" s="123"/>
      <c r="T23" s="127" t="s">
        <v>142</v>
      </c>
    </row>
    <row r="24" spans="1:20" ht="30" customHeight="1" x14ac:dyDescent="0.25">
      <c r="A24" s="107"/>
      <c r="B24" s="128" t="s">
        <v>143</v>
      </c>
      <c r="C24" s="121" t="s">
        <v>144</v>
      </c>
      <c r="D24" s="106"/>
      <c r="E24" s="108">
        <v>730204</v>
      </c>
      <c r="F24" s="129" t="s">
        <v>145</v>
      </c>
      <c r="G24" s="113">
        <v>10000</v>
      </c>
      <c r="H24" s="113">
        <f>-4000-3000</f>
        <v>-7000</v>
      </c>
      <c r="I24" s="113">
        <f>+G24+H24</f>
        <v>3000</v>
      </c>
      <c r="J24" s="1"/>
      <c r="K24" s="1"/>
      <c r="L24" s="1"/>
      <c r="M24" s="1"/>
      <c r="N24" s="111"/>
      <c r="O24" s="1"/>
      <c r="P24" s="114"/>
      <c r="Q24" s="115"/>
      <c r="S24" s="130" t="s">
        <v>146</v>
      </c>
      <c r="T24" s="131" t="s">
        <v>147</v>
      </c>
    </row>
    <row r="25" spans="1:20" ht="30" customHeight="1" x14ac:dyDescent="0.25">
      <c r="A25" s="107"/>
      <c r="B25" s="132"/>
      <c r="C25" s="125"/>
      <c r="D25" s="112"/>
      <c r="E25" s="108">
        <v>730207</v>
      </c>
      <c r="F25" s="129" t="s">
        <v>148</v>
      </c>
      <c r="G25" s="113">
        <f>20000+892.85</f>
        <v>20892.849999999999</v>
      </c>
      <c r="H25" s="113">
        <v>4000</v>
      </c>
      <c r="I25" s="113">
        <f>+G25+H25</f>
        <v>24892.85</v>
      </c>
      <c r="J25" s="1"/>
      <c r="K25" s="1"/>
      <c r="L25" s="1"/>
      <c r="M25" s="1"/>
      <c r="N25" s="111"/>
      <c r="O25" s="1"/>
      <c r="P25" s="114"/>
      <c r="Q25" s="115"/>
      <c r="S25" s="130" t="s">
        <v>149</v>
      </c>
      <c r="T25" s="131" t="s">
        <v>150</v>
      </c>
    </row>
    <row r="26" spans="1:20" ht="30" customHeight="1" x14ac:dyDescent="0.25">
      <c r="A26" s="107"/>
      <c r="B26" s="132"/>
      <c r="C26" s="126"/>
      <c r="D26" s="112"/>
      <c r="E26" s="108">
        <v>730205</v>
      </c>
      <c r="F26" s="129" t="s">
        <v>151</v>
      </c>
      <c r="G26" s="113">
        <v>2000</v>
      </c>
      <c r="H26" s="113"/>
      <c r="I26" s="113">
        <f t="shared" ref="I26:I27" si="1">+G26+H26</f>
        <v>2000</v>
      </c>
      <c r="J26" s="1"/>
      <c r="K26" s="1"/>
      <c r="L26" s="1"/>
      <c r="M26" s="1"/>
      <c r="N26" s="111"/>
      <c r="O26" s="1"/>
      <c r="P26" s="114"/>
      <c r="Q26" s="115"/>
      <c r="S26" s="130" t="s">
        <v>152</v>
      </c>
      <c r="T26" s="131" t="s">
        <v>153</v>
      </c>
    </row>
    <row r="27" spans="1:20" ht="30" customHeight="1" x14ac:dyDescent="0.25">
      <c r="A27" s="117"/>
      <c r="B27" s="133"/>
      <c r="C27" s="130" t="s">
        <v>154</v>
      </c>
      <c r="D27" s="120"/>
      <c r="E27" s="108">
        <v>730807</v>
      </c>
      <c r="F27" s="109" t="s">
        <v>155</v>
      </c>
      <c r="G27" s="113">
        <v>4000</v>
      </c>
      <c r="H27" s="113">
        <v>-3500</v>
      </c>
      <c r="I27" s="113">
        <f t="shared" si="1"/>
        <v>500</v>
      </c>
      <c r="J27" s="1"/>
      <c r="K27" s="1"/>
      <c r="L27" s="1"/>
      <c r="M27" s="1"/>
      <c r="N27" s="111"/>
      <c r="O27" s="1"/>
      <c r="P27" s="114"/>
      <c r="Q27" s="115"/>
      <c r="T27" s="131" t="s">
        <v>156</v>
      </c>
    </row>
    <row r="28" spans="1:20" ht="29.25" customHeight="1" x14ac:dyDescent="0.3">
      <c r="A28" s="134" t="s">
        <v>157</v>
      </c>
      <c r="B28" s="135"/>
      <c r="C28" s="135"/>
      <c r="D28" s="135"/>
      <c r="E28" s="135"/>
      <c r="F28" s="136"/>
      <c r="G28" s="137">
        <f>SUM(G10:G27)</f>
        <v>116303.23000000001</v>
      </c>
      <c r="H28" s="137">
        <f>SUM(H10:H27)</f>
        <v>0</v>
      </c>
      <c r="I28" s="137"/>
      <c r="J28" s="114"/>
      <c r="K28" s="1"/>
      <c r="L28" s="1"/>
      <c r="M28" s="1"/>
      <c r="N28" s="1"/>
      <c r="O28" s="1"/>
      <c r="P28" s="114"/>
      <c r="Q28" s="115"/>
    </row>
    <row r="29" spans="1:20" ht="48" customHeight="1" x14ac:dyDescent="0.25">
      <c r="A29" s="138"/>
      <c r="B29" s="138"/>
      <c r="C29" s="138"/>
      <c r="D29" s="138"/>
      <c r="E29" s="138"/>
      <c r="F29" s="138"/>
      <c r="G29" s="139"/>
      <c r="H29" s="139"/>
      <c r="I29" s="139"/>
      <c r="J29" s="139"/>
      <c r="K29" s="139"/>
      <c r="L29" s="139"/>
      <c r="M29" s="139"/>
      <c r="N29" s="139"/>
      <c r="P29" s="139"/>
      <c r="Q29" s="138"/>
    </row>
  </sheetData>
  <mergeCells count="28">
    <mergeCell ref="B24:B27"/>
    <mergeCell ref="C24:C26"/>
    <mergeCell ref="D24:D27"/>
    <mergeCell ref="A28:F28"/>
    <mergeCell ref="A10:A27"/>
    <mergeCell ref="B10:B23"/>
    <mergeCell ref="C10:C18"/>
    <mergeCell ref="D10:D23"/>
    <mergeCell ref="S10:S18"/>
    <mergeCell ref="T17:T18"/>
    <mergeCell ref="C19:C23"/>
    <mergeCell ref="S19:S21"/>
    <mergeCell ref="T19:T21"/>
    <mergeCell ref="S22:S23"/>
    <mergeCell ref="A5:B6"/>
    <mergeCell ref="D5:Q5"/>
    <mergeCell ref="D6:Q6"/>
    <mergeCell ref="A7:I7"/>
    <mergeCell ref="J7:Q7"/>
    <mergeCell ref="H8:I8"/>
    <mergeCell ref="J8:M8"/>
    <mergeCell ref="N8:Q8"/>
    <mergeCell ref="A2:B2"/>
    <mergeCell ref="D2:F2"/>
    <mergeCell ref="J2:Q2"/>
    <mergeCell ref="A3:B4"/>
    <mergeCell ref="D3:Q3"/>
    <mergeCell ref="D4:Q4"/>
  </mergeCells>
  <pageMargins left="0.15" right="0.05" top="0.75" bottom="0.33" header="0.3" footer="0.3"/>
  <pageSetup paperSize="9" scale="5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BEE42-EAB1-43E7-83F6-F38A4A683680}">
  <sheetPr>
    <pageSetUpPr fitToPage="1"/>
  </sheetPr>
  <dimension ref="A1:O40"/>
  <sheetViews>
    <sheetView zoomScale="70" zoomScaleNormal="70" workbookViewId="0">
      <selection activeCell="G19" sqref="G19"/>
    </sheetView>
  </sheetViews>
  <sheetFormatPr baseColWidth="10" defaultColWidth="11.42578125" defaultRowHeight="15" x14ac:dyDescent="0.25"/>
  <cols>
    <col min="1" max="1" width="14.28515625" customWidth="1"/>
    <col min="2" max="2" width="28" customWidth="1"/>
    <col min="3" max="3" width="41.85546875" customWidth="1"/>
    <col min="4" max="4" width="30.7109375" style="172" customWidth="1"/>
    <col min="5" max="5" width="16.85546875" style="179" customWidth="1"/>
    <col min="6" max="6" width="44.42578125" customWidth="1"/>
    <col min="7" max="7" width="18.5703125" customWidth="1"/>
    <col min="8" max="10" width="5.140625" customWidth="1"/>
    <col min="11" max="11" width="6.42578125" customWidth="1"/>
    <col min="12" max="12" width="11.140625" customWidth="1"/>
    <col min="13" max="13" width="10.85546875" customWidth="1"/>
    <col min="14" max="14" width="9.85546875" customWidth="1"/>
    <col min="15" max="15" width="13" customWidth="1"/>
  </cols>
  <sheetData>
    <row r="1" spans="1:15" ht="53.25" customHeight="1" x14ac:dyDescent="0.25">
      <c r="B1" s="16"/>
      <c r="C1" s="16" t="s">
        <v>0</v>
      </c>
      <c r="D1" s="91" t="s">
        <v>158</v>
      </c>
      <c r="E1" s="91"/>
      <c r="F1" s="91"/>
      <c r="G1" s="16" t="s">
        <v>1</v>
      </c>
      <c r="H1" s="75"/>
      <c r="I1" s="75"/>
      <c r="J1" s="75"/>
      <c r="K1" s="75"/>
      <c r="L1" s="75"/>
      <c r="M1" s="75"/>
      <c r="N1" s="75"/>
      <c r="O1" s="75"/>
    </row>
    <row r="2" spans="1:15" ht="30" customHeight="1" x14ac:dyDescent="0.25">
      <c r="A2" s="92" t="s">
        <v>91</v>
      </c>
      <c r="B2" s="92"/>
      <c r="C2" s="17" t="s">
        <v>6</v>
      </c>
      <c r="D2" s="85"/>
      <c r="E2" s="85"/>
      <c r="F2" s="85"/>
      <c r="G2" s="85"/>
      <c r="H2" s="85"/>
      <c r="I2" s="85"/>
      <c r="J2" s="85"/>
      <c r="K2" s="85"/>
      <c r="L2" s="85"/>
      <c r="M2" s="85"/>
      <c r="N2" s="85"/>
      <c r="O2" s="85"/>
    </row>
    <row r="3" spans="1:15" ht="30" customHeight="1" x14ac:dyDescent="0.25">
      <c r="A3" s="92"/>
      <c r="B3" s="92"/>
      <c r="C3" s="17" t="s">
        <v>7</v>
      </c>
      <c r="D3" s="85"/>
      <c r="E3" s="85"/>
      <c r="F3" s="85"/>
      <c r="G3" s="85"/>
      <c r="H3" s="85"/>
      <c r="I3" s="85"/>
      <c r="J3" s="85"/>
      <c r="K3" s="85"/>
      <c r="L3" s="85"/>
      <c r="M3" s="85"/>
      <c r="N3" s="85"/>
      <c r="O3" s="85"/>
    </row>
    <row r="4" spans="1:15" ht="32.25" customHeight="1" x14ac:dyDescent="0.25">
      <c r="A4" s="83" t="s">
        <v>92</v>
      </c>
      <c r="B4" s="83"/>
      <c r="C4" s="18" t="s">
        <v>8</v>
      </c>
      <c r="D4" s="84"/>
      <c r="E4" s="84"/>
      <c r="F4" s="84"/>
      <c r="G4" s="84"/>
      <c r="H4" s="84"/>
      <c r="I4" s="84"/>
      <c r="J4" s="84"/>
      <c r="K4" s="84"/>
      <c r="L4" s="84"/>
      <c r="M4" s="84"/>
      <c r="N4" s="84"/>
      <c r="O4" s="84"/>
    </row>
    <row r="5" spans="1:15" ht="30" customHeight="1" x14ac:dyDescent="0.25">
      <c r="A5" s="83"/>
      <c r="B5" s="83"/>
      <c r="C5" s="18" t="s">
        <v>9</v>
      </c>
      <c r="D5" s="85"/>
      <c r="E5" s="85"/>
      <c r="F5" s="85"/>
      <c r="G5" s="85"/>
      <c r="H5" s="85"/>
      <c r="I5" s="85"/>
      <c r="J5" s="85"/>
      <c r="K5" s="85"/>
      <c r="L5" s="85"/>
      <c r="M5" s="85"/>
      <c r="N5" s="85"/>
      <c r="O5" s="85"/>
    </row>
    <row r="6" spans="1:15" ht="15" customHeight="1" x14ac:dyDescent="0.25">
      <c r="A6" s="86" t="s">
        <v>2</v>
      </c>
      <c r="B6" s="87"/>
      <c r="C6" s="87"/>
      <c r="D6" s="87"/>
      <c r="E6" s="87"/>
      <c r="F6" s="87"/>
      <c r="G6" s="88"/>
      <c r="H6" s="89" t="s">
        <v>3</v>
      </c>
      <c r="I6" s="90"/>
      <c r="J6" s="90"/>
      <c r="K6" s="90"/>
      <c r="L6" s="90"/>
      <c r="M6" s="90"/>
      <c r="N6" s="90"/>
      <c r="O6" s="79"/>
    </row>
    <row r="7" spans="1:15" ht="30" customHeight="1" x14ac:dyDescent="0.25">
      <c r="A7" s="140" t="s">
        <v>10</v>
      </c>
      <c r="B7" s="140" t="s">
        <v>11</v>
      </c>
      <c r="C7" s="140" t="s">
        <v>12</v>
      </c>
      <c r="D7" s="140" t="s">
        <v>94</v>
      </c>
      <c r="E7" s="141" t="s">
        <v>13</v>
      </c>
      <c r="F7" s="140" t="s">
        <v>14</v>
      </c>
      <c r="G7" s="142" t="s">
        <v>95</v>
      </c>
      <c r="H7" s="79" t="s">
        <v>4</v>
      </c>
      <c r="I7" s="80"/>
      <c r="J7" s="80"/>
      <c r="K7" s="80"/>
      <c r="L7" s="80" t="s">
        <v>5</v>
      </c>
      <c r="M7" s="80"/>
      <c r="N7" s="80"/>
      <c r="O7" s="80"/>
    </row>
    <row r="8" spans="1:15" ht="26.25" customHeight="1" x14ac:dyDescent="0.25">
      <c r="A8" s="143"/>
      <c r="B8" s="143"/>
      <c r="C8" s="143"/>
      <c r="D8" s="143"/>
      <c r="E8" s="144"/>
      <c r="F8" s="143"/>
      <c r="G8" s="145"/>
      <c r="H8" s="25" t="s">
        <v>15</v>
      </c>
      <c r="I8" s="25" t="s">
        <v>16</v>
      </c>
      <c r="J8" s="25" t="s">
        <v>17</v>
      </c>
      <c r="K8" s="25" t="s">
        <v>18</v>
      </c>
      <c r="L8" s="25" t="s">
        <v>15</v>
      </c>
      <c r="M8" s="25" t="s">
        <v>16</v>
      </c>
      <c r="N8" s="25" t="s">
        <v>17</v>
      </c>
      <c r="O8" s="26" t="s">
        <v>18</v>
      </c>
    </row>
    <row r="9" spans="1:15" ht="18" customHeight="1" x14ac:dyDescent="0.25">
      <c r="A9" s="146" t="s">
        <v>159</v>
      </c>
      <c r="B9" s="72" t="s">
        <v>160</v>
      </c>
      <c r="C9" s="147" t="s">
        <v>161</v>
      </c>
      <c r="D9" s="75"/>
      <c r="E9" s="148">
        <v>222.710105</v>
      </c>
      <c r="F9" s="32" t="s">
        <v>125</v>
      </c>
      <c r="G9" s="149">
        <v>29565</v>
      </c>
      <c r="H9" s="150">
        <v>0.33333333333333331</v>
      </c>
      <c r="I9" s="150">
        <v>0.33333333333333331</v>
      </c>
      <c r="J9" s="150">
        <v>0.33333333333333331</v>
      </c>
      <c r="K9" s="151">
        <f>SUM(H9:J9)</f>
        <v>1</v>
      </c>
      <c r="L9" s="152">
        <f>+$G$9*H9</f>
        <v>9855</v>
      </c>
      <c r="M9" s="152">
        <f t="shared" ref="M9:N9" si="0">+$G$9*I9</f>
        <v>9855</v>
      </c>
      <c r="N9" s="152">
        <f t="shared" si="0"/>
        <v>9855</v>
      </c>
      <c r="O9" s="1">
        <f>SUM(L9:N9)</f>
        <v>29565</v>
      </c>
    </row>
    <row r="10" spans="1:15" ht="18" customHeight="1" x14ac:dyDescent="0.25">
      <c r="A10" s="146"/>
      <c r="B10" s="72"/>
      <c r="C10" s="147"/>
      <c r="D10" s="75"/>
      <c r="E10" s="148">
        <v>222.71020300000001</v>
      </c>
      <c r="F10" s="32" t="s">
        <v>162</v>
      </c>
      <c r="G10" s="149">
        <v>2463.75</v>
      </c>
      <c r="H10" s="150">
        <v>0.33333333333333331</v>
      </c>
      <c r="I10" s="150">
        <v>0.33333333333333331</v>
      </c>
      <c r="J10" s="150">
        <v>0.33333333333333331</v>
      </c>
      <c r="K10" s="151">
        <f t="shared" ref="K10:K13" si="1">SUM(H10:J10)</f>
        <v>1</v>
      </c>
      <c r="L10" s="152">
        <f>+$G$10*H10</f>
        <v>821.25</v>
      </c>
      <c r="M10" s="152">
        <f t="shared" ref="M10:N10" si="2">+$G$10*I10</f>
        <v>821.25</v>
      </c>
      <c r="N10" s="152">
        <f t="shared" si="2"/>
        <v>821.25</v>
      </c>
      <c r="O10" s="1">
        <f t="shared" ref="O10:O12" si="3">SUM(L10:N10)</f>
        <v>2463.75</v>
      </c>
    </row>
    <row r="11" spans="1:15" ht="18" customHeight="1" x14ac:dyDescent="0.25">
      <c r="A11" s="146"/>
      <c r="B11" s="72"/>
      <c r="C11" s="147"/>
      <c r="D11" s="75"/>
      <c r="E11" s="148">
        <v>222.710204</v>
      </c>
      <c r="F11" s="32" t="s">
        <v>163</v>
      </c>
      <c r="G11" s="149">
        <v>1275</v>
      </c>
      <c r="H11" s="150">
        <v>0.33333333333333331</v>
      </c>
      <c r="I11" s="150">
        <v>0.33333333333333331</v>
      </c>
      <c r="J11" s="150">
        <v>0.33333333333333331</v>
      </c>
      <c r="K11" s="151">
        <f t="shared" si="1"/>
        <v>1</v>
      </c>
      <c r="L11" s="152">
        <f>+$G$11*H11</f>
        <v>425</v>
      </c>
      <c r="M11" s="152">
        <f t="shared" ref="M11:N11" si="4">+$G$11*I11</f>
        <v>425</v>
      </c>
      <c r="N11" s="152">
        <f t="shared" si="4"/>
        <v>425</v>
      </c>
      <c r="O11" s="1">
        <f t="shared" si="3"/>
        <v>1275</v>
      </c>
    </row>
    <row r="12" spans="1:15" ht="18" customHeight="1" x14ac:dyDescent="0.25">
      <c r="A12" s="146"/>
      <c r="B12" s="72"/>
      <c r="C12" s="147"/>
      <c r="D12" s="75"/>
      <c r="E12" s="148">
        <v>222.71060199999999</v>
      </c>
      <c r="F12" s="32" t="s">
        <v>128</v>
      </c>
      <c r="G12" s="149">
        <v>2463.75</v>
      </c>
      <c r="H12" s="150">
        <v>0.33333333333333331</v>
      </c>
      <c r="I12" s="150">
        <v>0.33333333333333331</v>
      </c>
      <c r="J12" s="150">
        <v>0.33333333333333331</v>
      </c>
      <c r="K12" s="151">
        <f t="shared" si="1"/>
        <v>1</v>
      </c>
      <c r="L12" s="152">
        <f>+$G$12*H12</f>
        <v>821.25</v>
      </c>
      <c r="M12" s="152">
        <f t="shared" ref="M12:N12" si="5">+$G$9*I12</f>
        <v>9855</v>
      </c>
      <c r="N12" s="152">
        <f t="shared" si="5"/>
        <v>9855</v>
      </c>
      <c r="O12" s="1">
        <f t="shared" si="3"/>
        <v>20531.25</v>
      </c>
    </row>
    <row r="13" spans="1:15" ht="18" customHeight="1" x14ac:dyDescent="0.25">
      <c r="A13" s="146"/>
      <c r="B13" s="72"/>
      <c r="C13" s="147"/>
      <c r="D13" s="75"/>
      <c r="E13" s="148">
        <v>222.710601</v>
      </c>
      <c r="F13" s="32" t="s">
        <v>86</v>
      </c>
      <c r="G13" s="149">
        <v>3444.32</v>
      </c>
      <c r="H13" s="150">
        <v>0.33333333333333331</v>
      </c>
      <c r="I13" s="150">
        <v>0.33333333333333331</v>
      </c>
      <c r="J13" s="150">
        <v>0.33333333333333331</v>
      </c>
      <c r="K13" s="151">
        <f t="shared" si="1"/>
        <v>1</v>
      </c>
      <c r="L13" s="152"/>
      <c r="M13" s="152"/>
      <c r="N13" s="152"/>
      <c r="O13" s="1"/>
    </row>
    <row r="14" spans="1:15" ht="18" customHeight="1" x14ac:dyDescent="0.25">
      <c r="A14" s="146"/>
      <c r="B14" s="72"/>
      <c r="C14" s="147"/>
      <c r="D14" s="75"/>
      <c r="E14" s="148" t="s">
        <v>164</v>
      </c>
      <c r="F14" s="153" t="s">
        <v>165</v>
      </c>
      <c r="G14" s="149">
        <v>400</v>
      </c>
      <c r="H14" s="152"/>
      <c r="I14" s="152"/>
      <c r="J14" s="152"/>
      <c r="K14" s="152"/>
      <c r="L14" s="152"/>
      <c r="M14" s="152"/>
      <c r="N14" s="1"/>
      <c r="O14" s="1"/>
    </row>
    <row r="15" spans="1:15" ht="18" customHeight="1" x14ac:dyDescent="0.25">
      <c r="A15" s="146"/>
      <c r="B15" s="72"/>
      <c r="C15" s="147"/>
      <c r="D15" s="75"/>
      <c r="E15" s="148">
        <v>222.730805</v>
      </c>
      <c r="F15" s="32" t="s">
        <v>41</v>
      </c>
      <c r="G15" s="149">
        <v>200</v>
      </c>
      <c r="H15" s="152"/>
      <c r="I15" s="152"/>
      <c r="J15" s="152"/>
      <c r="K15" s="152"/>
      <c r="L15" s="152"/>
      <c r="M15" s="152"/>
      <c r="N15" s="1"/>
      <c r="O15" s="1"/>
    </row>
    <row r="16" spans="1:15" ht="18" customHeight="1" x14ac:dyDescent="0.25">
      <c r="A16" s="146"/>
      <c r="B16" s="72"/>
      <c r="C16" s="147"/>
      <c r="D16" s="75"/>
      <c r="E16" s="154">
        <v>222.73081199999999</v>
      </c>
      <c r="F16" s="155" t="s">
        <v>166</v>
      </c>
      <c r="G16" s="149">
        <v>300</v>
      </c>
      <c r="H16" s="152"/>
      <c r="I16" s="152"/>
      <c r="J16" s="152"/>
      <c r="K16" s="152"/>
      <c r="L16" s="152"/>
      <c r="M16" s="152"/>
      <c r="N16" s="1"/>
      <c r="O16" s="1"/>
    </row>
    <row r="17" spans="1:15" ht="18" customHeight="1" x14ac:dyDescent="0.25">
      <c r="A17" s="146"/>
      <c r="B17" s="72"/>
      <c r="C17" s="147"/>
      <c r="D17" s="75"/>
      <c r="E17" s="148">
        <v>222.84010699999999</v>
      </c>
      <c r="F17" s="155" t="s">
        <v>137</v>
      </c>
      <c r="G17" s="149">
        <v>700</v>
      </c>
      <c r="H17" s="152"/>
      <c r="I17" s="152"/>
      <c r="J17" s="152"/>
      <c r="K17" s="152"/>
      <c r="L17" s="152"/>
      <c r="M17" s="152"/>
      <c r="N17" s="1"/>
      <c r="O17" s="1"/>
    </row>
    <row r="18" spans="1:15" ht="18" customHeight="1" x14ac:dyDescent="0.25">
      <c r="A18" s="146"/>
      <c r="B18" s="72"/>
      <c r="C18" s="156" t="s">
        <v>167</v>
      </c>
      <c r="D18" s="75"/>
      <c r="E18" s="148" t="s">
        <v>168</v>
      </c>
      <c r="F18" s="32" t="s">
        <v>19</v>
      </c>
      <c r="G18" s="149">
        <v>800</v>
      </c>
      <c r="H18" s="152"/>
      <c r="I18" s="152"/>
      <c r="J18" s="152"/>
      <c r="K18" s="152"/>
      <c r="L18" s="152"/>
      <c r="M18" s="152"/>
      <c r="N18" s="1"/>
      <c r="O18" s="1"/>
    </row>
    <row r="19" spans="1:15" ht="36" customHeight="1" x14ac:dyDescent="0.25">
      <c r="A19" s="146"/>
      <c r="B19" s="72"/>
      <c r="C19" s="156"/>
      <c r="D19" s="75"/>
      <c r="E19" s="148" t="s">
        <v>169</v>
      </c>
      <c r="F19" s="32" t="s">
        <v>170</v>
      </c>
      <c r="G19" s="149">
        <v>40000</v>
      </c>
      <c r="H19" s="152"/>
      <c r="I19" s="152"/>
      <c r="J19" s="152"/>
      <c r="K19" s="152"/>
      <c r="L19" s="157"/>
      <c r="M19" s="152"/>
      <c r="N19" s="1"/>
      <c r="O19" s="1"/>
    </row>
    <row r="20" spans="1:15" ht="18" customHeight="1" x14ac:dyDescent="0.25">
      <c r="A20" s="146"/>
      <c r="B20" s="72"/>
      <c r="C20" s="156"/>
      <c r="D20" s="75"/>
      <c r="E20" s="148">
        <v>222.73080400000001</v>
      </c>
      <c r="F20" s="32" t="s">
        <v>25</v>
      </c>
      <c r="G20" s="149">
        <v>300</v>
      </c>
      <c r="H20" s="152"/>
      <c r="I20" s="152"/>
      <c r="J20" s="152"/>
      <c r="K20" s="152"/>
      <c r="L20" s="152"/>
      <c r="M20" s="152"/>
      <c r="N20" s="1"/>
      <c r="O20" s="1"/>
    </row>
    <row r="21" spans="1:15" ht="18" customHeight="1" x14ac:dyDescent="0.25">
      <c r="A21" s="146"/>
      <c r="B21" s="72"/>
      <c r="C21" s="156"/>
      <c r="D21" s="75"/>
      <c r="E21" s="148" t="s">
        <v>171</v>
      </c>
      <c r="F21" s="32" t="s">
        <v>172</v>
      </c>
      <c r="G21" s="149">
        <v>100</v>
      </c>
      <c r="H21" s="152"/>
      <c r="I21" s="152"/>
      <c r="J21" s="152"/>
      <c r="K21" s="152"/>
      <c r="L21" s="152"/>
      <c r="M21" s="152"/>
      <c r="N21" s="1"/>
      <c r="O21" s="1"/>
    </row>
    <row r="22" spans="1:15" ht="18" customHeight="1" x14ac:dyDescent="0.25">
      <c r="A22" s="146"/>
      <c r="B22" s="72"/>
      <c r="C22" s="156"/>
      <c r="D22" s="75"/>
      <c r="E22" s="148" t="s">
        <v>173</v>
      </c>
      <c r="F22" s="32" t="s">
        <v>174</v>
      </c>
      <c r="G22" s="149">
        <v>300</v>
      </c>
      <c r="H22" s="152"/>
      <c r="I22" s="152"/>
      <c r="J22" s="152"/>
      <c r="K22" s="152"/>
      <c r="L22" s="152"/>
      <c r="M22" s="152"/>
      <c r="N22" s="1"/>
      <c r="O22" s="1"/>
    </row>
    <row r="23" spans="1:15" ht="18" customHeight="1" x14ac:dyDescent="0.3">
      <c r="A23" s="158"/>
      <c r="B23" s="159"/>
      <c r="C23" s="159"/>
      <c r="D23" s="159"/>
      <c r="E23" s="159"/>
      <c r="F23" s="160"/>
      <c r="G23" s="161">
        <f>SUM(G9:G22)</f>
        <v>82311.820000000007</v>
      </c>
      <c r="H23" s="162"/>
      <c r="I23" s="163"/>
      <c r="J23" s="163"/>
      <c r="K23" s="163"/>
      <c r="L23" s="163"/>
      <c r="M23" s="163"/>
      <c r="N23" s="164"/>
      <c r="O23" s="165">
        <f>SUM(O9:O22)</f>
        <v>53835</v>
      </c>
    </row>
    <row r="24" spans="1:15" ht="18.75" x14ac:dyDescent="0.3">
      <c r="A24" s="166" t="s">
        <v>175</v>
      </c>
      <c r="B24" s="166"/>
      <c r="C24" s="166"/>
      <c r="D24" s="166"/>
      <c r="E24" s="166"/>
      <c r="F24" s="167"/>
      <c r="G24" s="168">
        <f>SUM(G23)</f>
        <v>82311.820000000007</v>
      </c>
      <c r="H24" s="162"/>
      <c r="I24" s="163"/>
      <c r="J24" s="163"/>
      <c r="K24" s="163"/>
      <c r="L24" s="163"/>
      <c r="M24" s="163"/>
      <c r="N24" s="164"/>
      <c r="O24" s="169"/>
    </row>
    <row r="25" spans="1:15" x14ac:dyDescent="0.25">
      <c r="A25" s="170"/>
      <c r="B25" s="171"/>
      <c r="C25" s="171"/>
      <c r="E25" s="173"/>
      <c r="F25" s="174"/>
      <c r="G25" s="174"/>
      <c r="H25" s="174"/>
      <c r="I25" s="174"/>
      <c r="J25" s="174"/>
      <c r="K25" s="174"/>
      <c r="L25" s="174"/>
      <c r="M25" s="174"/>
    </row>
    <row r="26" spans="1:15" x14ac:dyDescent="0.25">
      <c r="A26" s="175"/>
      <c r="B26" s="176"/>
      <c r="C26" s="176"/>
      <c r="D26" s="177"/>
      <c r="E26" s="178"/>
      <c r="F26" s="175"/>
      <c r="G26" s="175"/>
      <c r="H26" s="175"/>
      <c r="I26" s="175"/>
      <c r="J26" s="175"/>
      <c r="K26" s="175"/>
      <c r="L26" s="175"/>
      <c r="M26" s="175"/>
    </row>
    <row r="27" spans="1:15" x14ac:dyDescent="0.25">
      <c r="A27" s="175"/>
      <c r="B27" s="176"/>
      <c r="C27" s="176"/>
      <c r="D27" s="177"/>
      <c r="E27" s="178"/>
      <c r="F27" s="175"/>
      <c r="G27" s="175"/>
      <c r="H27" s="175"/>
      <c r="I27" s="175"/>
      <c r="J27" s="175"/>
      <c r="K27" s="175"/>
      <c r="L27" s="175"/>
      <c r="M27" s="175"/>
    </row>
    <row r="28" spans="1:15" x14ac:dyDescent="0.25">
      <c r="A28" s="175"/>
      <c r="B28" s="176"/>
      <c r="C28" s="176"/>
      <c r="D28" s="177"/>
      <c r="E28" s="178"/>
      <c r="F28" s="175"/>
      <c r="G28" s="175"/>
      <c r="H28" s="175"/>
      <c r="I28" s="175"/>
      <c r="J28" s="175"/>
      <c r="K28" s="175"/>
      <c r="L28" s="175"/>
      <c r="M28" s="175"/>
    </row>
    <row r="29" spans="1:15" x14ac:dyDescent="0.25">
      <c r="A29" s="175"/>
      <c r="B29" s="176"/>
      <c r="C29" s="176"/>
      <c r="D29" s="177"/>
      <c r="E29" s="178"/>
      <c r="F29" s="175"/>
      <c r="G29" s="175"/>
      <c r="H29" s="175"/>
      <c r="I29" s="175"/>
      <c r="J29" s="175"/>
      <c r="K29" s="175"/>
      <c r="L29" s="175"/>
      <c r="M29" s="175"/>
    </row>
    <row r="30" spans="1:15" x14ac:dyDescent="0.25">
      <c r="A30" s="175"/>
      <c r="B30" s="176"/>
      <c r="C30" s="176"/>
      <c r="D30" s="177"/>
      <c r="E30" s="178"/>
      <c r="F30" s="175"/>
      <c r="G30" s="175"/>
      <c r="H30" s="175"/>
      <c r="I30" s="175"/>
      <c r="J30" s="175"/>
      <c r="K30" s="175"/>
      <c r="L30" s="175"/>
      <c r="M30" s="175"/>
    </row>
    <row r="31" spans="1:15" x14ac:dyDescent="0.25">
      <c r="A31" s="175"/>
      <c r="B31" s="176"/>
      <c r="C31" s="176"/>
      <c r="D31" s="177"/>
      <c r="E31" s="178"/>
      <c r="F31" s="175"/>
      <c r="G31" s="175"/>
      <c r="H31" s="175"/>
      <c r="I31" s="175"/>
      <c r="J31" s="175"/>
      <c r="K31" s="175"/>
      <c r="L31" s="175"/>
      <c r="M31" s="175"/>
    </row>
    <row r="32" spans="1:15" x14ac:dyDescent="0.25">
      <c r="A32" s="175"/>
      <c r="B32" s="176"/>
      <c r="C32" s="176"/>
      <c r="D32" s="177"/>
      <c r="E32" s="178"/>
      <c r="F32" s="175"/>
      <c r="G32" s="175"/>
      <c r="H32" s="175"/>
      <c r="I32" s="175"/>
      <c r="J32" s="175"/>
      <c r="K32" s="175"/>
      <c r="L32" s="175"/>
      <c r="M32" s="175"/>
    </row>
    <row r="33" spans="1:13" x14ac:dyDescent="0.25">
      <c r="A33" s="175"/>
      <c r="B33" s="176"/>
      <c r="C33" s="176"/>
      <c r="D33" s="177"/>
      <c r="E33" s="178"/>
      <c r="F33" s="175"/>
      <c r="G33" s="175"/>
      <c r="H33" s="175"/>
      <c r="I33" s="175"/>
      <c r="J33" s="175"/>
      <c r="K33" s="175"/>
      <c r="L33" s="175"/>
      <c r="M33" s="175"/>
    </row>
    <row r="34" spans="1:13" x14ac:dyDescent="0.25">
      <c r="A34" s="175"/>
      <c r="B34" s="176"/>
      <c r="C34" s="176"/>
      <c r="D34" s="177"/>
      <c r="E34" s="178"/>
      <c r="F34" s="175"/>
      <c r="G34" s="175"/>
      <c r="H34" s="175"/>
      <c r="I34" s="175"/>
      <c r="J34" s="175"/>
      <c r="K34" s="175"/>
      <c r="L34" s="175"/>
      <c r="M34" s="175"/>
    </row>
    <row r="35" spans="1:13" x14ac:dyDescent="0.25">
      <c r="A35" s="175"/>
      <c r="B35" s="176"/>
      <c r="C35" s="176"/>
      <c r="D35" s="177"/>
      <c r="E35" s="178"/>
      <c r="F35" s="175"/>
      <c r="G35" s="175"/>
      <c r="H35" s="175"/>
      <c r="I35" s="175"/>
      <c r="J35" s="175"/>
      <c r="K35" s="175"/>
      <c r="L35" s="175"/>
      <c r="M35" s="175"/>
    </row>
    <row r="36" spans="1:13" x14ac:dyDescent="0.25">
      <c r="A36" s="175"/>
      <c r="B36" s="176"/>
      <c r="C36" s="176"/>
      <c r="D36" s="177"/>
      <c r="E36" s="178"/>
      <c r="F36" s="175"/>
      <c r="G36" s="175"/>
      <c r="H36" s="175"/>
      <c r="I36" s="175"/>
      <c r="J36" s="175"/>
      <c r="K36" s="175"/>
      <c r="L36" s="175"/>
      <c r="M36" s="175"/>
    </row>
    <row r="37" spans="1:13" x14ac:dyDescent="0.25">
      <c r="A37" s="175"/>
      <c r="B37" s="176"/>
      <c r="C37" s="176"/>
      <c r="D37" s="177"/>
      <c r="E37" s="178"/>
      <c r="F37" s="175"/>
      <c r="G37" s="175"/>
      <c r="H37" s="175"/>
      <c r="I37" s="175"/>
      <c r="J37" s="175"/>
      <c r="K37" s="175"/>
      <c r="L37" s="175"/>
      <c r="M37" s="175"/>
    </row>
    <row r="38" spans="1:13" x14ac:dyDescent="0.25">
      <c r="A38" s="175"/>
      <c r="B38" s="176"/>
      <c r="C38" s="176"/>
      <c r="D38" s="177"/>
      <c r="E38" s="178"/>
      <c r="F38" s="175"/>
      <c r="G38" s="175"/>
      <c r="H38" s="175"/>
      <c r="I38" s="175"/>
      <c r="J38" s="175"/>
      <c r="K38" s="175"/>
      <c r="L38" s="175"/>
      <c r="M38" s="175"/>
    </row>
    <row r="39" spans="1:13" x14ac:dyDescent="0.25">
      <c r="A39" s="175"/>
      <c r="B39" s="176"/>
      <c r="C39" s="176"/>
      <c r="D39" s="177"/>
      <c r="E39" s="178"/>
      <c r="F39" s="175"/>
      <c r="G39" s="175"/>
      <c r="H39" s="175"/>
      <c r="I39" s="175"/>
      <c r="J39" s="175"/>
      <c r="K39" s="175"/>
      <c r="L39" s="175"/>
      <c r="M39" s="175"/>
    </row>
    <row r="40" spans="1:13" x14ac:dyDescent="0.25">
      <c r="A40" s="175"/>
      <c r="B40" s="176"/>
      <c r="C40" s="176"/>
      <c r="D40" s="177"/>
      <c r="E40" s="178"/>
      <c r="F40" s="175"/>
      <c r="G40" s="175"/>
      <c r="H40" s="175"/>
      <c r="I40" s="175"/>
      <c r="J40" s="175"/>
      <c r="K40" s="175"/>
      <c r="L40" s="175"/>
      <c r="M40" s="175"/>
    </row>
  </sheetData>
  <mergeCells count="28">
    <mergeCell ref="A23:F23"/>
    <mergeCell ref="H23:N23"/>
    <mergeCell ref="A24:F24"/>
    <mergeCell ref="H24:N24"/>
    <mergeCell ref="L7:O7"/>
    <mergeCell ref="A9:A22"/>
    <mergeCell ref="B9:B22"/>
    <mergeCell ref="C9:C17"/>
    <mergeCell ref="D9:D22"/>
    <mergeCell ref="C18:C22"/>
    <mergeCell ref="A6:G6"/>
    <mergeCell ref="H6:O6"/>
    <mergeCell ref="A7:A8"/>
    <mergeCell ref="B7:B8"/>
    <mergeCell ref="C7:C8"/>
    <mergeCell ref="D7:D8"/>
    <mergeCell ref="E7:E8"/>
    <mergeCell ref="F7:F8"/>
    <mergeCell ref="G7:G8"/>
    <mergeCell ref="H7:K7"/>
    <mergeCell ref="D1:F1"/>
    <mergeCell ref="H1:O1"/>
    <mergeCell ref="A2:B3"/>
    <mergeCell ref="D2:O2"/>
    <mergeCell ref="D3:O3"/>
    <mergeCell ref="A4:B5"/>
    <mergeCell ref="D4:O4"/>
    <mergeCell ref="D5:O5"/>
  </mergeCells>
  <pageMargins left="0.7" right="0.7" top="0.75" bottom="0.75" header="0.3" footer="0.3"/>
  <pageSetup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C551-80B2-40EC-BDED-02BE5436769E}">
  <sheetPr>
    <pageSetUpPr fitToPage="1"/>
  </sheetPr>
  <dimension ref="A1:AA90"/>
  <sheetViews>
    <sheetView topLeftCell="E44" zoomScale="70" zoomScaleNormal="70" workbookViewId="0">
      <selection activeCell="Q71" sqref="Q71:Q72"/>
    </sheetView>
  </sheetViews>
  <sheetFormatPr baseColWidth="10" defaultRowHeight="15" x14ac:dyDescent="0.25"/>
  <cols>
    <col min="1" max="1" width="14.28515625" customWidth="1"/>
    <col min="2" max="2" width="28" customWidth="1"/>
    <col min="3" max="3" width="41.85546875" customWidth="1"/>
    <col min="4" max="4" width="30.7109375" customWidth="1"/>
    <col min="5" max="5" width="16.85546875" customWidth="1"/>
    <col min="6" max="6" width="44.42578125" customWidth="1"/>
    <col min="7" max="7" width="18.5703125" customWidth="1"/>
    <col min="8" max="8" width="6.5703125" customWidth="1"/>
    <col min="9" max="10" width="5.85546875" customWidth="1"/>
    <col min="11" max="11" width="6.42578125" customWidth="1"/>
    <col min="12" max="13" width="12" customWidth="1"/>
    <col min="14" max="14" width="12.140625" customWidth="1"/>
    <col min="15" max="15" width="13" customWidth="1"/>
    <col min="16" max="17" width="14.7109375" customWidth="1"/>
    <col min="18" max="20" width="5.140625" customWidth="1"/>
    <col min="21" max="22" width="9.42578125" customWidth="1"/>
    <col min="23" max="23" width="8.85546875" customWidth="1"/>
    <col min="24" max="24" width="10.28515625" customWidth="1"/>
    <col min="25" max="27" width="11.42578125" customWidth="1"/>
  </cols>
  <sheetData>
    <row r="1" spans="1:26" ht="18.75" x14ac:dyDescent="0.25">
      <c r="B1" s="16"/>
      <c r="C1" s="16" t="s">
        <v>0</v>
      </c>
      <c r="D1" s="91" t="s">
        <v>176</v>
      </c>
      <c r="E1" s="91"/>
      <c r="F1" s="91"/>
      <c r="G1" s="16" t="s">
        <v>1</v>
      </c>
      <c r="H1" s="75" t="s">
        <v>177</v>
      </c>
      <c r="I1" s="75"/>
      <c r="J1" s="75"/>
      <c r="K1" s="75"/>
      <c r="L1" s="75"/>
      <c r="M1" s="75"/>
      <c r="N1" s="75"/>
      <c r="O1" s="75"/>
    </row>
    <row r="2" spans="1:26" x14ac:dyDescent="0.25">
      <c r="A2" s="92" t="s">
        <v>91</v>
      </c>
      <c r="B2" s="92"/>
      <c r="C2" s="17" t="s">
        <v>6</v>
      </c>
      <c r="D2" s="85"/>
      <c r="E2" s="85"/>
      <c r="F2" s="85"/>
      <c r="G2" s="85"/>
      <c r="H2" s="85"/>
      <c r="I2" s="85"/>
      <c r="J2" s="85"/>
      <c r="K2" s="85"/>
      <c r="L2" s="85"/>
      <c r="M2" s="85"/>
      <c r="N2" s="85"/>
      <c r="O2" s="85"/>
    </row>
    <row r="3" spans="1:26" x14ac:dyDescent="0.25">
      <c r="A3" s="92"/>
      <c r="B3" s="92"/>
      <c r="C3" s="17" t="s">
        <v>7</v>
      </c>
      <c r="D3" s="85"/>
      <c r="E3" s="85"/>
      <c r="F3" s="85"/>
      <c r="G3" s="85"/>
      <c r="H3" s="85"/>
      <c r="I3" s="85"/>
      <c r="J3" s="85"/>
      <c r="K3" s="85"/>
      <c r="L3" s="85"/>
      <c r="M3" s="85"/>
      <c r="N3" s="85"/>
      <c r="O3" s="85"/>
    </row>
    <row r="4" spans="1:26" ht="15" customHeight="1" x14ac:dyDescent="0.25">
      <c r="A4" s="83" t="s">
        <v>92</v>
      </c>
      <c r="B4" s="83"/>
      <c r="C4" s="18" t="s">
        <v>8</v>
      </c>
      <c r="D4" s="180" t="s">
        <v>178</v>
      </c>
      <c r="E4" s="181"/>
      <c r="F4" s="181"/>
      <c r="G4" s="181"/>
      <c r="H4" s="181"/>
      <c r="I4" s="181"/>
      <c r="J4" s="181"/>
      <c r="K4" s="181"/>
      <c r="L4" s="181"/>
      <c r="M4" s="181"/>
      <c r="N4" s="181"/>
      <c r="O4" s="182"/>
    </row>
    <row r="5" spans="1:26" ht="15" customHeight="1" x14ac:dyDescent="0.25">
      <c r="A5" s="83"/>
      <c r="B5" s="83"/>
      <c r="C5" s="18" t="s">
        <v>9</v>
      </c>
      <c r="D5" s="183" t="s">
        <v>179</v>
      </c>
      <c r="E5" s="184"/>
      <c r="F5" s="184"/>
      <c r="G5" s="184"/>
      <c r="H5" s="184"/>
      <c r="I5" s="184"/>
      <c r="J5" s="184"/>
      <c r="K5" s="184"/>
      <c r="L5" s="184"/>
      <c r="M5" s="184"/>
      <c r="N5" s="184"/>
      <c r="O5" s="185"/>
    </row>
    <row r="6" spans="1:26" ht="15" customHeight="1" x14ac:dyDescent="0.25">
      <c r="A6" s="86" t="s">
        <v>2</v>
      </c>
      <c r="B6" s="87"/>
      <c r="C6" s="87"/>
      <c r="D6" s="87"/>
      <c r="E6" s="87"/>
      <c r="F6" s="87"/>
      <c r="G6" s="88"/>
      <c r="H6" s="89" t="s">
        <v>3</v>
      </c>
      <c r="I6" s="90"/>
      <c r="J6" s="90"/>
      <c r="K6" s="90"/>
      <c r="L6" s="90"/>
      <c r="M6" s="90"/>
      <c r="N6" s="90"/>
      <c r="O6" s="79"/>
      <c r="P6" s="101"/>
      <c r="Q6" s="101"/>
      <c r="R6" s="101"/>
      <c r="S6" s="101"/>
      <c r="T6" s="101"/>
      <c r="U6" s="101"/>
      <c r="V6" s="101"/>
      <c r="W6" s="101"/>
      <c r="X6" s="101"/>
      <c r="Y6" s="101"/>
      <c r="Z6" s="101"/>
    </row>
    <row r="7" spans="1:26" ht="30" customHeight="1" x14ac:dyDescent="0.25">
      <c r="A7" s="140" t="s">
        <v>10</v>
      </c>
      <c r="B7" s="140" t="s">
        <v>11</v>
      </c>
      <c r="C7" s="140" t="s">
        <v>12</v>
      </c>
      <c r="D7" s="140" t="s">
        <v>94</v>
      </c>
      <c r="E7" s="141" t="s">
        <v>13</v>
      </c>
      <c r="F7" s="140" t="s">
        <v>14</v>
      </c>
      <c r="G7" s="142" t="s">
        <v>95</v>
      </c>
      <c r="H7" s="79" t="s">
        <v>4</v>
      </c>
      <c r="I7" s="80"/>
      <c r="J7" s="80"/>
      <c r="K7" s="80"/>
      <c r="L7" s="80" t="s">
        <v>5</v>
      </c>
      <c r="M7" s="80"/>
      <c r="N7" s="80"/>
      <c r="O7" s="80"/>
      <c r="P7" s="101"/>
      <c r="Q7" s="101"/>
      <c r="R7" s="101"/>
      <c r="S7" s="101"/>
      <c r="T7" s="101"/>
      <c r="U7" s="101"/>
      <c r="V7" s="101"/>
      <c r="W7" s="101"/>
      <c r="X7" s="101"/>
      <c r="Y7" s="101"/>
      <c r="Z7" s="101"/>
    </row>
    <row r="8" spans="1:26" ht="24" customHeight="1" x14ac:dyDescent="0.25">
      <c r="A8" s="143"/>
      <c r="B8" s="143"/>
      <c r="C8" s="143"/>
      <c r="D8" s="143"/>
      <c r="E8" s="144"/>
      <c r="F8" s="143"/>
      <c r="G8" s="145"/>
      <c r="H8" s="25" t="s">
        <v>15</v>
      </c>
      <c r="I8" s="25" t="s">
        <v>16</v>
      </c>
      <c r="J8" s="25" t="s">
        <v>17</v>
      </c>
      <c r="K8" s="25" t="s">
        <v>18</v>
      </c>
      <c r="L8" s="25" t="s">
        <v>15</v>
      </c>
      <c r="M8" s="25" t="s">
        <v>16</v>
      </c>
      <c r="N8" s="25" t="s">
        <v>17</v>
      </c>
      <c r="O8" s="26" t="s">
        <v>18</v>
      </c>
      <c r="P8" s="186"/>
      <c r="Q8" s="186"/>
      <c r="R8" s="186"/>
      <c r="S8" s="186"/>
      <c r="T8" s="186"/>
      <c r="U8" s="186"/>
      <c r="V8" s="186"/>
      <c r="W8" s="186"/>
      <c r="X8" s="186"/>
      <c r="Y8" s="187"/>
      <c r="Z8" s="187"/>
    </row>
    <row r="9" spans="1:26" ht="18" customHeight="1" x14ac:dyDescent="0.25">
      <c r="A9" s="188" t="s">
        <v>180</v>
      </c>
      <c r="B9" s="72" t="s">
        <v>181</v>
      </c>
      <c r="C9" s="189" t="s">
        <v>182</v>
      </c>
      <c r="D9" s="189" t="s">
        <v>183</v>
      </c>
      <c r="E9" s="190">
        <v>710105</v>
      </c>
      <c r="F9" s="191" t="s">
        <v>125</v>
      </c>
      <c r="G9" s="192">
        <f>42306+5100</f>
        <v>47406</v>
      </c>
      <c r="H9" s="193">
        <v>0.33333333333333337</v>
      </c>
      <c r="I9" s="193">
        <v>0.33333333333333337</v>
      </c>
      <c r="J9" s="193">
        <v>0.33333333333333337</v>
      </c>
      <c r="K9" s="194">
        <f>SUM(H9:J9)</f>
        <v>1</v>
      </c>
      <c r="L9" s="195">
        <f>+$G$9*H9</f>
        <v>15802.000000000002</v>
      </c>
      <c r="M9" s="195">
        <f t="shared" ref="M9:N9" si="0">+$G$9*I9</f>
        <v>15802.000000000002</v>
      </c>
      <c r="N9" s="195">
        <f t="shared" si="0"/>
        <v>15802.000000000002</v>
      </c>
      <c r="O9" s="195">
        <f>SUM(L9:N9)</f>
        <v>47406.000000000007</v>
      </c>
      <c r="Q9" s="196">
        <f>+G9-O9</f>
        <v>0</v>
      </c>
    </row>
    <row r="10" spans="1:26" ht="18" customHeight="1" x14ac:dyDescent="0.25">
      <c r="A10" s="197"/>
      <c r="B10" s="72"/>
      <c r="C10" s="198"/>
      <c r="D10" s="198"/>
      <c r="E10" s="190">
        <v>710203</v>
      </c>
      <c r="F10" s="191" t="s">
        <v>184</v>
      </c>
      <c r="G10" s="192">
        <v>3950.5</v>
      </c>
      <c r="H10" s="193">
        <v>0.33333333333333337</v>
      </c>
      <c r="I10" s="193">
        <v>0.33333333333333337</v>
      </c>
      <c r="J10" s="193">
        <v>0.33333333333333337</v>
      </c>
      <c r="K10" s="194">
        <f t="shared" ref="K10:K61" si="1">SUM(H10:J10)</f>
        <v>1</v>
      </c>
      <c r="L10" s="195">
        <f>+$G$10*H10</f>
        <v>1316.8333333333335</v>
      </c>
      <c r="M10" s="195">
        <f t="shared" ref="M10:N10" si="2">+$G$10*I10</f>
        <v>1316.8333333333335</v>
      </c>
      <c r="N10" s="195">
        <f t="shared" si="2"/>
        <v>1316.8333333333335</v>
      </c>
      <c r="O10" s="195">
        <f t="shared" ref="O10:O62" si="3">SUM(L10:N10)</f>
        <v>3950.5000000000005</v>
      </c>
      <c r="Q10" s="196">
        <f t="shared" ref="Q10:Q61" si="4">+G10-O10</f>
        <v>0</v>
      </c>
    </row>
    <row r="11" spans="1:26" ht="18" customHeight="1" x14ac:dyDescent="0.25">
      <c r="A11" s="197"/>
      <c r="B11" s="72"/>
      <c r="C11" s="198"/>
      <c r="D11" s="198"/>
      <c r="E11" s="190">
        <v>710204</v>
      </c>
      <c r="F11" s="191" t="s">
        <v>163</v>
      </c>
      <c r="G11" s="192">
        <v>1700</v>
      </c>
      <c r="H11" s="193">
        <v>0.33333333333333337</v>
      </c>
      <c r="I11" s="193">
        <v>0.33333333333333337</v>
      </c>
      <c r="J11" s="193">
        <v>0.33333333333333337</v>
      </c>
      <c r="K11" s="194">
        <f t="shared" si="1"/>
        <v>1</v>
      </c>
      <c r="L11" s="195">
        <f>+$G$11*H11</f>
        <v>566.66666666666674</v>
      </c>
      <c r="M11" s="195">
        <f t="shared" ref="M11:N11" si="5">+$G$11*I11</f>
        <v>566.66666666666674</v>
      </c>
      <c r="N11" s="195">
        <f t="shared" si="5"/>
        <v>566.66666666666674</v>
      </c>
      <c r="O11" s="195">
        <f t="shared" si="3"/>
        <v>1700.0000000000002</v>
      </c>
      <c r="Q11" s="196">
        <f t="shared" si="4"/>
        <v>0</v>
      </c>
    </row>
    <row r="12" spans="1:26" ht="18" customHeight="1" x14ac:dyDescent="0.25">
      <c r="A12" s="197"/>
      <c r="B12" s="72"/>
      <c r="C12" s="198"/>
      <c r="D12" s="198"/>
      <c r="E12" s="190">
        <v>710707</v>
      </c>
      <c r="F12" s="191" t="s">
        <v>185</v>
      </c>
      <c r="G12" s="192">
        <v>2000</v>
      </c>
      <c r="H12" s="193">
        <v>0.33333333333333337</v>
      </c>
      <c r="I12" s="193">
        <v>0.33333333333333337</v>
      </c>
      <c r="J12" s="193">
        <v>0.33333333333333337</v>
      </c>
      <c r="K12" s="194">
        <f t="shared" si="1"/>
        <v>1</v>
      </c>
      <c r="L12" s="195">
        <f>+$G$12*H12</f>
        <v>666.66666666666674</v>
      </c>
      <c r="M12" s="195">
        <f t="shared" ref="M12:N12" si="6">+$G$12*I12</f>
        <v>666.66666666666674</v>
      </c>
      <c r="N12" s="195">
        <f t="shared" si="6"/>
        <v>666.66666666666674</v>
      </c>
      <c r="O12" s="195">
        <f t="shared" si="3"/>
        <v>2000.0000000000002</v>
      </c>
      <c r="Q12" s="196">
        <f t="shared" si="4"/>
        <v>0</v>
      </c>
    </row>
    <row r="13" spans="1:26" ht="18" customHeight="1" x14ac:dyDescent="0.25">
      <c r="A13" s="197"/>
      <c r="B13" s="72"/>
      <c r="C13" s="198"/>
      <c r="D13" s="198"/>
      <c r="E13" s="190" t="s">
        <v>186</v>
      </c>
      <c r="F13" s="199" t="s">
        <v>86</v>
      </c>
      <c r="G13" s="192">
        <v>5522.8</v>
      </c>
      <c r="H13" s="193">
        <v>0.33333333333333337</v>
      </c>
      <c r="I13" s="193">
        <v>0.33333333333333337</v>
      </c>
      <c r="J13" s="193">
        <v>0.33333333333333337</v>
      </c>
      <c r="K13" s="194">
        <f t="shared" si="1"/>
        <v>1</v>
      </c>
      <c r="L13" s="195">
        <f>+$G$13*H13</f>
        <v>1840.9333333333336</v>
      </c>
      <c r="M13" s="195">
        <f t="shared" ref="M13:N13" si="7">+$G$13*I13</f>
        <v>1840.9333333333336</v>
      </c>
      <c r="N13" s="195">
        <f t="shared" si="7"/>
        <v>1840.9333333333336</v>
      </c>
      <c r="O13" s="195">
        <f t="shared" si="3"/>
        <v>5522.8000000000011</v>
      </c>
      <c r="Q13" s="196">
        <f t="shared" si="4"/>
        <v>0</v>
      </c>
    </row>
    <row r="14" spans="1:26" ht="18" customHeight="1" x14ac:dyDescent="0.25">
      <c r="A14" s="197"/>
      <c r="B14" s="72"/>
      <c r="C14" s="198"/>
      <c r="D14" s="198"/>
      <c r="E14" s="190" t="s">
        <v>187</v>
      </c>
      <c r="F14" s="199" t="s">
        <v>128</v>
      </c>
      <c r="G14" s="192">
        <v>3950.5</v>
      </c>
      <c r="H14" s="193">
        <v>0.33333333333333337</v>
      </c>
      <c r="I14" s="193">
        <v>0.33333333333333337</v>
      </c>
      <c r="J14" s="193">
        <v>0.33333333333333337</v>
      </c>
      <c r="K14" s="194">
        <f t="shared" si="1"/>
        <v>1</v>
      </c>
      <c r="L14" s="195">
        <f>+$G$14*H14</f>
        <v>1316.8333333333335</v>
      </c>
      <c r="M14" s="195">
        <f t="shared" ref="M14:N14" si="8">+$G$14*I14</f>
        <v>1316.8333333333335</v>
      </c>
      <c r="N14" s="195">
        <f t="shared" si="8"/>
        <v>1316.8333333333335</v>
      </c>
      <c r="O14" s="195">
        <f t="shared" si="3"/>
        <v>3950.5000000000005</v>
      </c>
      <c r="Q14" s="196">
        <f t="shared" si="4"/>
        <v>0</v>
      </c>
    </row>
    <row r="15" spans="1:26" ht="18" customHeight="1" x14ac:dyDescent="0.25">
      <c r="A15" s="197"/>
      <c r="B15" s="72"/>
      <c r="C15" s="200"/>
      <c r="D15" s="198"/>
      <c r="E15" s="201">
        <v>730804</v>
      </c>
      <c r="F15" s="202" t="s">
        <v>188</v>
      </c>
      <c r="G15" s="192">
        <v>300</v>
      </c>
      <c r="H15" s="193">
        <v>0.5</v>
      </c>
      <c r="I15" s="203"/>
      <c r="J15" s="203">
        <v>0.5</v>
      </c>
      <c r="K15" s="194">
        <f t="shared" si="1"/>
        <v>1</v>
      </c>
      <c r="L15" s="195">
        <f>+$G$15*H15</f>
        <v>150</v>
      </c>
      <c r="M15" s="195">
        <f t="shared" ref="M15:N15" si="9">+$G$15*I15</f>
        <v>0</v>
      </c>
      <c r="N15" s="195">
        <f t="shared" si="9"/>
        <v>150</v>
      </c>
      <c r="O15" s="195">
        <f t="shared" si="3"/>
        <v>300</v>
      </c>
      <c r="Q15" s="196">
        <f t="shared" si="4"/>
        <v>0</v>
      </c>
    </row>
    <row r="16" spans="1:26" ht="18" customHeight="1" x14ac:dyDescent="0.25">
      <c r="A16" s="197"/>
      <c r="B16" s="72"/>
      <c r="C16" s="74" t="s">
        <v>189</v>
      </c>
      <c r="D16" s="198"/>
      <c r="E16" s="190">
        <v>730606</v>
      </c>
      <c r="F16" s="191" t="s">
        <v>190</v>
      </c>
      <c r="G16" s="192">
        <v>5000</v>
      </c>
      <c r="H16" s="203"/>
      <c r="I16" s="193">
        <v>1</v>
      </c>
      <c r="J16" s="203"/>
      <c r="K16" s="194">
        <f t="shared" si="1"/>
        <v>1</v>
      </c>
      <c r="L16" s="195">
        <f>+$G$16*H16</f>
        <v>0</v>
      </c>
      <c r="M16" s="195">
        <f t="shared" ref="M16:N16" si="10">+$G$16*I16</f>
        <v>5000</v>
      </c>
      <c r="N16" s="195">
        <f t="shared" si="10"/>
        <v>0</v>
      </c>
      <c r="O16" s="195">
        <f t="shared" si="3"/>
        <v>5000</v>
      </c>
      <c r="Q16" s="196">
        <f t="shared" si="4"/>
        <v>0</v>
      </c>
    </row>
    <row r="17" spans="1:17" ht="18" customHeight="1" x14ac:dyDescent="0.25">
      <c r="A17" s="197"/>
      <c r="B17" s="72"/>
      <c r="C17" s="74"/>
      <c r="D17" s="200"/>
      <c r="E17" s="190">
        <v>730813</v>
      </c>
      <c r="F17" s="191" t="s">
        <v>26</v>
      </c>
      <c r="G17" s="192">
        <v>500</v>
      </c>
      <c r="H17" s="203">
        <v>1</v>
      </c>
      <c r="I17" s="193"/>
      <c r="J17" s="203"/>
      <c r="K17" s="194">
        <f t="shared" si="1"/>
        <v>1</v>
      </c>
      <c r="L17" s="195">
        <f>+$G$17*H17</f>
        <v>500</v>
      </c>
      <c r="M17" s="195">
        <f t="shared" ref="M17:N17" si="11">+$G$17*I17</f>
        <v>0</v>
      </c>
      <c r="N17" s="195">
        <f t="shared" si="11"/>
        <v>0</v>
      </c>
      <c r="O17" s="195">
        <f t="shared" si="3"/>
        <v>500</v>
      </c>
      <c r="Q17" s="196">
        <f t="shared" si="4"/>
        <v>0</v>
      </c>
    </row>
    <row r="18" spans="1:17" ht="18" customHeight="1" x14ac:dyDescent="0.25">
      <c r="A18" s="204" t="s">
        <v>191</v>
      </c>
      <c r="B18" s="205" t="s">
        <v>192</v>
      </c>
      <c r="C18" s="206"/>
      <c r="D18" s="73" t="s">
        <v>193</v>
      </c>
      <c r="E18" s="33">
        <v>710105</v>
      </c>
      <c r="F18" s="202" t="s">
        <v>125</v>
      </c>
      <c r="G18" s="192">
        <v>14544</v>
      </c>
      <c r="H18" s="193">
        <v>0.33333333333333337</v>
      </c>
      <c r="I18" s="193">
        <v>0.33333333333333337</v>
      </c>
      <c r="J18" s="193">
        <v>0.33333333333333337</v>
      </c>
      <c r="K18" s="194">
        <f t="shared" si="1"/>
        <v>1</v>
      </c>
      <c r="L18" s="195">
        <f>+$G$18*H18</f>
        <v>4848.0000000000009</v>
      </c>
      <c r="M18" s="195">
        <f t="shared" ref="M18:N18" si="12">+$G$18*I18</f>
        <v>4848.0000000000009</v>
      </c>
      <c r="N18" s="195">
        <f t="shared" si="12"/>
        <v>4848.0000000000009</v>
      </c>
      <c r="O18" s="195">
        <f t="shared" si="3"/>
        <v>14544.000000000004</v>
      </c>
      <c r="Q18" s="196">
        <f t="shared" si="4"/>
        <v>0</v>
      </c>
    </row>
    <row r="19" spans="1:17" ht="18" customHeight="1" x14ac:dyDescent="0.25">
      <c r="A19" s="204"/>
      <c r="B19" s="205"/>
      <c r="C19" s="207"/>
      <c r="D19" s="73"/>
      <c r="E19" s="33">
        <v>710510</v>
      </c>
      <c r="F19" s="202" t="s">
        <v>194</v>
      </c>
      <c r="G19" s="192">
        <v>5100</v>
      </c>
      <c r="H19" s="193">
        <v>0.33333333333333337</v>
      </c>
      <c r="I19" s="193">
        <v>0.33333333333333337</v>
      </c>
      <c r="J19" s="193">
        <v>0.33333333333333337</v>
      </c>
      <c r="K19" s="194">
        <f t="shared" si="1"/>
        <v>1</v>
      </c>
      <c r="L19" s="195">
        <f>+$G$19*H19</f>
        <v>1700.0000000000002</v>
      </c>
      <c r="M19" s="195">
        <f t="shared" ref="M19:N19" si="13">+$G$19*I19</f>
        <v>1700.0000000000002</v>
      </c>
      <c r="N19" s="195">
        <f t="shared" si="13"/>
        <v>1700.0000000000002</v>
      </c>
      <c r="O19" s="195">
        <f t="shared" si="3"/>
        <v>5100.0000000000009</v>
      </c>
      <c r="Q19" s="196">
        <f t="shared" si="4"/>
        <v>0</v>
      </c>
    </row>
    <row r="20" spans="1:17" ht="18" customHeight="1" x14ac:dyDescent="0.25">
      <c r="A20" s="204"/>
      <c r="B20" s="205"/>
      <c r="C20" s="207"/>
      <c r="D20" s="73"/>
      <c r="E20" s="33">
        <v>710203</v>
      </c>
      <c r="F20" s="202" t="s">
        <v>162</v>
      </c>
      <c r="G20" s="192">
        <v>1637</v>
      </c>
      <c r="H20" s="193">
        <v>0.33333333333333337</v>
      </c>
      <c r="I20" s="193">
        <v>0.33333333333333337</v>
      </c>
      <c r="J20" s="193">
        <v>0.33333333333333337</v>
      </c>
      <c r="K20" s="194">
        <f t="shared" si="1"/>
        <v>1</v>
      </c>
      <c r="L20" s="195">
        <f>+$G$20*H20</f>
        <v>545.66666666666674</v>
      </c>
      <c r="M20" s="195">
        <f t="shared" ref="M20:N20" si="14">+$G$20*I20</f>
        <v>545.66666666666674</v>
      </c>
      <c r="N20" s="195">
        <f t="shared" si="14"/>
        <v>545.66666666666674</v>
      </c>
      <c r="O20" s="195">
        <f t="shared" si="3"/>
        <v>1637.0000000000002</v>
      </c>
      <c r="Q20" s="196">
        <f t="shared" si="4"/>
        <v>0</v>
      </c>
    </row>
    <row r="21" spans="1:17" ht="18" customHeight="1" x14ac:dyDescent="0.25">
      <c r="A21" s="204"/>
      <c r="B21" s="205"/>
      <c r="C21" s="207"/>
      <c r="D21" s="73"/>
      <c r="E21" s="33">
        <v>710204</v>
      </c>
      <c r="F21" s="202" t="s">
        <v>163</v>
      </c>
      <c r="G21" s="192">
        <v>850</v>
      </c>
      <c r="H21" s="193">
        <v>0.33333333333333337</v>
      </c>
      <c r="I21" s="193">
        <v>0.33333333333333337</v>
      </c>
      <c r="J21" s="193">
        <v>0.33333333333333337</v>
      </c>
      <c r="K21" s="194">
        <f t="shared" si="1"/>
        <v>1</v>
      </c>
      <c r="L21" s="195">
        <f>+$G$21*H21</f>
        <v>283.33333333333337</v>
      </c>
      <c r="M21" s="195">
        <f t="shared" ref="M21:N21" si="15">+$G$21*I21</f>
        <v>283.33333333333337</v>
      </c>
      <c r="N21" s="195">
        <f t="shared" si="15"/>
        <v>283.33333333333337</v>
      </c>
      <c r="O21" s="195">
        <f t="shared" si="3"/>
        <v>850.00000000000011</v>
      </c>
      <c r="Q21" s="196">
        <f t="shared" si="4"/>
        <v>0</v>
      </c>
    </row>
    <row r="22" spans="1:17" ht="18" customHeight="1" x14ac:dyDescent="0.25">
      <c r="A22" s="204"/>
      <c r="B22" s="205"/>
      <c r="C22" s="207"/>
      <c r="D22" s="73"/>
      <c r="E22" s="33">
        <v>710601</v>
      </c>
      <c r="F22" s="202" t="s">
        <v>86</v>
      </c>
      <c r="G22" s="192">
        <v>2288.5300000000002</v>
      </c>
      <c r="H22" s="193">
        <v>0.33333333333333337</v>
      </c>
      <c r="I22" s="193">
        <v>0.33333333333333337</v>
      </c>
      <c r="J22" s="193">
        <v>0.33333333333333337</v>
      </c>
      <c r="K22" s="194">
        <f t="shared" si="1"/>
        <v>1</v>
      </c>
      <c r="L22" s="195">
        <f>+$G$22*H22</f>
        <v>762.84333333333348</v>
      </c>
      <c r="M22" s="195">
        <f t="shared" ref="M22:N22" si="16">+$G$22*I22</f>
        <v>762.84333333333348</v>
      </c>
      <c r="N22" s="195">
        <f t="shared" si="16"/>
        <v>762.84333333333348</v>
      </c>
      <c r="O22" s="195">
        <f t="shared" si="3"/>
        <v>2288.5300000000007</v>
      </c>
      <c r="Q22" s="196">
        <f t="shared" si="4"/>
        <v>0</v>
      </c>
    </row>
    <row r="23" spans="1:17" ht="18" customHeight="1" x14ac:dyDescent="0.25">
      <c r="A23" s="204"/>
      <c r="B23" s="205"/>
      <c r="C23" s="208"/>
      <c r="D23" s="73"/>
      <c r="E23" s="33">
        <v>730802</v>
      </c>
      <c r="F23" s="202" t="s">
        <v>128</v>
      </c>
      <c r="G23" s="192">
        <v>1637</v>
      </c>
      <c r="H23" s="193">
        <v>0.33333333333333337</v>
      </c>
      <c r="I23" s="193">
        <v>0.33333333333333337</v>
      </c>
      <c r="J23" s="193">
        <v>0.33333333333333337</v>
      </c>
      <c r="K23" s="194">
        <f t="shared" si="1"/>
        <v>1</v>
      </c>
      <c r="L23" s="195">
        <f>+$G$23*H23</f>
        <v>545.66666666666674</v>
      </c>
      <c r="M23" s="195">
        <f t="shared" ref="M23:N23" si="17">+$G$23*I23</f>
        <v>545.66666666666674</v>
      </c>
      <c r="N23" s="195">
        <f t="shared" si="17"/>
        <v>545.66666666666674</v>
      </c>
      <c r="O23" s="195">
        <f t="shared" si="3"/>
        <v>1637.0000000000002</v>
      </c>
      <c r="Q23" s="196">
        <f t="shared" si="4"/>
        <v>0</v>
      </c>
    </row>
    <row r="24" spans="1:17" ht="18" customHeight="1" x14ac:dyDescent="0.25">
      <c r="A24" s="204"/>
      <c r="B24" s="205"/>
      <c r="C24" s="189" t="s">
        <v>195</v>
      </c>
      <c r="D24" s="198" t="s">
        <v>196</v>
      </c>
      <c r="E24" s="33">
        <v>840107</v>
      </c>
      <c r="F24" s="202" t="s">
        <v>197</v>
      </c>
      <c r="G24" s="192">
        <v>100</v>
      </c>
      <c r="H24" s="209"/>
      <c r="I24" s="203">
        <v>1</v>
      </c>
      <c r="J24" s="203"/>
      <c r="K24" s="194">
        <f t="shared" si="1"/>
        <v>1</v>
      </c>
      <c r="L24" s="195">
        <f>+$G$24*H24</f>
        <v>0</v>
      </c>
      <c r="M24" s="195">
        <f t="shared" ref="M24:N24" si="18">+$G$24*I24</f>
        <v>100</v>
      </c>
      <c r="N24" s="195">
        <f t="shared" si="18"/>
        <v>0</v>
      </c>
      <c r="O24" s="195">
        <f t="shared" si="3"/>
        <v>100</v>
      </c>
      <c r="Q24" s="196">
        <f t="shared" si="4"/>
        <v>0</v>
      </c>
    </row>
    <row r="25" spans="1:17" ht="18" customHeight="1" x14ac:dyDescent="0.25">
      <c r="A25" s="204"/>
      <c r="B25" s="205"/>
      <c r="C25" s="198"/>
      <c r="D25" s="198"/>
      <c r="E25" s="210">
        <v>730813</v>
      </c>
      <c r="F25" s="191" t="s">
        <v>198</v>
      </c>
      <c r="G25" s="192">
        <v>1000</v>
      </c>
      <c r="H25" s="209">
        <v>1</v>
      </c>
      <c r="I25" s="203"/>
      <c r="J25" s="203"/>
      <c r="K25" s="194">
        <f t="shared" si="1"/>
        <v>1</v>
      </c>
      <c r="L25" s="195">
        <f>+$G$25*H25</f>
        <v>1000</v>
      </c>
      <c r="M25" s="195">
        <f t="shared" ref="M25:N25" si="19">+$G$25*I25</f>
        <v>0</v>
      </c>
      <c r="N25" s="195">
        <f t="shared" si="19"/>
        <v>0</v>
      </c>
      <c r="O25" s="195">
        <f t="shared" si="3"/>
        <v>1000</v>
      </c>
      <c r="Q25" s="196">
        <f t="shared" si="4"/>
        <v>0</v>
      </c>
    </row>
    <row r="26" spans="1:17" ht="18" customHeight="1" x14ac:dyDescent="0.25">
      <c r="A26" s="204"/>
      <c r="B26" s="205"/>
      <c r="C26" s="200"/>
      <c r="D26" s="198"/>
      <c r="E26" s="210">
        <v>840104</v>
      </c>
      <c r="F26" s="191" t="s">
        <v>174</v>
      </c>
      <c r="G26" s="192">
        <v>8900</v>
      </c>
      <c r="H26" s="209">
        <v>1</v>
      </c>
      <c r="I26" s="203"/>
      <c r="J26" s="203"/>
      <c r="K26" s="194">
        <f t="shared" si="1"/>
        <v>1</v>
      </c>
      <c r="L26" s="195">
        <f>+$G$26*H26</f>
        <v>8900</v>
      </c>
      <c r="M26" s="195">
        <f t="shared" ref="M26:N26" si="20">+$G$26*I26</f>
        <v>0</v>
      </c>
      <c r="N26" s="195">
        <f t="shared" si="20"/>
        <v>0</v>
      </c>
      <c r="O26" s="195">
        <f t="shared" si="3"/>
        <v>8900</v>
      </c>
      <c r="Q26" s="196">
        <f t="shared" si="4"/>
        <v>0</v>
      </c>
    </row>
    <row r="27" spans="1:17" ht="18" customHeight="1" x14ac:dyDescent="0.25">
      <c r="A27" s="204"/>
      <c r="B27" s="205"/>
      <c r="C27" s="189" t="s">
        <v>199</v>
      </c>
      <c r="D27" s="198"/>
      <c r="E27" s="201">
        <v>730610</v>
      </c>
      <c r="F27" s="202" t="s">
        <v>200</v>
      </c>
      <c r="G27" s="192">
        <v>2500</v>
      </c>
      <c r="H27" s="209"/>
      <c r="I27" s="203">
        <v>0.5</v>
      </c>
      <c r="J27" s="203">
        <v>0.5</v>
      </c>
      <c r="K27" s="194">
        <f t="shared" si="1"/>
        <v>1</v>
      </c>
      <c r="L27" s="195">
        <f>+$G$27*H27</f>
        <v>0</v>
      </c>
      <c r="M27" s="195">
        <f t="shared" ref="M27:N27" si="21">+$G$27*I27</f>
        <v>1250</v>
      </c>
      <c r="N27" s="195">
        <f t="shared" si="21"/>
        <v>1250</v>
      </c>
      <c r="O27" s="195">
        <f t="shared" si="3"/>
        <v>2500</v>
      </c>
      <c r="Q27" s="196">
        <f t="shared" si="4"/>
        <v>0</v>
      </c>
    </row>
    <row r="28" spans="1:17" ht="18" customHeight="1" x14ac:dyDescent="0.25">
      <c r="A28" s="204"/>
      <c r="B28" s="205"/>
      <c r="C28" s="198"/>
      <c r="D28" s="198"/>
      <c r="E28" s="201">
        <v>731406</v>
      </c>
      <c r="F28" s="202" t="s">
        <v>201</v>
      </c>
      <c r="G28" s="192">
        <v>100</v>
      </c>
      <c r="H28" s="193">
        <v>0.33333333333333337</v>
      </c>
      <c r="I28" s="193">
        <v>0.33333333333333337</v>
      </c>
      <c r="J28" s="193">
        <v>0.33333333333333337</v>
      </c>
      <c r="K28" s="194">
        <f t="shared" si="1"/>
        <v>1</v>
      </c>
      <c r="L28" s="195">
        <f>+$G$28*H28</f>
        <v>33.333333333333336</v>
      </c>
      <c r="M28" s="195">
        <f t="shared" ref="M28:N28" si="22">+$G$28*I28</f>
        <v>33.333333333333336</v>
      </c>
      <c r="N28" s="195">
        <f t="shared" si="22"/>
        <v>33.333333333333336</v>
      </c>
      <c r="O28" s="195">
        <f t="shared" si="3"/>
        <v>100</v>
      </c>
      <c r="Q28" s="196">
        <f t="shared" si="4"/>
        <v>0</v>
      </c>
    </row>
    <row r="29" spans="1:17" ht="18" customHeight="1" x14ac:dyDescent="0.25">
      <c r="A29" s="204"/>
      <c r="B29" s="205"/>
      <c r="C29" s="198"/>
      <c r="D29" s="198"/>
      <c r="E29" s="201">
        <v>730811</v>
      </c>
      <c r="F29" s="202" t="s">
        <v>202</v>
      </c>
      <c r="G29" s="192">
        <v>100</v>
      </c>
      <c r="H29" s="193">
        <v>0.33333333333333337</v>
      </c>
      <c r="I29" s="193">
        <v>0.33333333333333337</v>
      </c>
      <c r="J29" s="193">
        <v>0.33333333333333337</v>
      </c>
      <c r="K29" s="194">
        <f t="shared" si="1"/>
        <v>1</v>
      </c>
      <c r="L29" s="195">
        <f>+$G$29*H29</f>
        <v>33.333333333333336</v>
      </c>
      <c r="M29" s="195">
        <f t="shared" ref="M29:N29" si="23">+$G$29*I29</f>
        <v>33.333333333333336</v>
      </c>
      <c r="N29" s="195">
        <f t="shared" si="23"/>
        <v>33.333333333333336</v>
      </c>
      <c r="O29" s="195">
        <f t="shared" si="3"/>
        <v>100</v>
      </c>
      <c r="Q29" s="196">
        <f t="shared" si="4"/>
        <v>0</v>
      </c>
    </row>
    <row r="30" spans="1:17" ht="18" customHeight="1" x14ac:dyDescent="0.25">
      <c r="A30" s="204"/>
      <c r="B30" s="205"/>
      <c r="C30" s="200"/>
      <c r="D30" s="198"/>
      <c r="E30" s="201">
        <v>730605</v>
      </c>
      <c r="F30" s="202" t="s">
        <v>203</v>
      </c>
      <c r="G30" s="211">
        <v>34120.449999999997</v>
      </c>
      <c r="H30" s="209"/>
      <c r="I30" s="203">
        <v>1</v>
      </c>
      <c r="J30" s="203"/>
      <c r="K30" s="194">
        <f t="shared" si="1"/>
        <v>1</v>
      </c>
      <c r="L30" s="195">
        <f>+$G$30*H30</f>
        <v>0</v>
      </c>
      <c r="M30" s="195">
        <f t="shared" ref="M30:N30" si="24">+$G$30*I30</f>
        <v>34120.449999999997</v>
      </c>
      <c r="N30" s="195">
        <f t="shared" si="24"/>
        <v>0</v>
      </c>
      <c r="O30" s="195">
        <f t="shared" si="3"/>
        <v>34120.449999999997</v>
      </c>
      <c r="Q30" s="196">
        <f t="shared" si="4"/>
        <v>0</v>
      </c>
    </row>
    <row r="31" spans="1:17" ht="18" customHeight="1" x14ac:dyDescent="0.25">
      <c r="A31" s="204"/>
      <c r="B31" s="72" t="s">
        <v>204</v>
      </c>
      <c r="C31" s="212" t="s">
        <v>205</v>
      </c>
      <c r="D31" s="72" t="s">
        <v>206</v>
      </c>
      <c r="E31" s="201">
        <v>730204</v>
      </c>
      <c r="F31" s="202" t="s">
        <v>207</v>
      </c>
      <c r="G31" s="192">
        <v>300</v>
      </c>
      <c r="H31" s="209">
        <v>0.5</v>
      </c>
      <c r="I31" s="203"/>
      <c r="J31" s="203">
        <v>0.5</v>
      </c>
      <c r="K31" s="194">
        <f t="shared" si="1"/>
        <v>1</v>
      </c>
      <c r="L31" s="195">
        <f>+$G$31*H31</f>
        <v>150</v>
      </c>
      <c r="M31" s="195">
        <f t="shared" ref="M31:N31" si="25">+$G$31*I31</f>
        <v>0</v>
      </c>
      <c r="N31" s="195">
        <f t="shared" si="25"/>
        <v>150</v>
      </c>
      <c r="O31" s="195">
        <f t="shared" si="3"/>
        <v>300</v>
      </c>
      <c r="Q31" s="196">
        <f t="shared" si="4"/>
        <v>0</v>
      </c>
    </row>
    <row r="32" spans="1:17" ht="18" customHeight="1" x14ac:dyDescent="0.25">
      <c r="A32" s="204"/>
      <c r="B32" s="72"/>
      <c r="C32" s="213" t="s">
        <v>208</v>
      </c>
      <c r="D32" s="72"/>
      <c r="E32" s="201">
        <v>730801</v>
      </c>
      <c r="F32" s="191" t="s">
        <v>209</v>
      </c>
      <c r="G32" s="192">
        <v>100</v>
      </c>
      <c r="H32" s="209">
        <v>0.5</v>
      </c>
      <c r="I32" s="203"/>
      <c r="J32" s="203">
        <v>0.5</v>
      </c>
      <c r="K32" s="194">
        <f t="shared" si="1"/>
        <v>1</v>
      </c>
      <c r="L32" s="195">
        <f>+$G$32*H32</f>
        <v>50</v>
      </c>
      <c r="M32" s="195">
        <f t="shared" ref="M32:N32" si="26">+$G$32*I32</f>
        <v>0</v>
      </c>
      <c r="N32" s="195">
        <f t="shared" si="26"/>
        <v>50</v>
      </c>
      <c r="O32" s="195">
        <f t="shared" si="3"/>
        <v>100</v>
      </c>
      <c r="Q32" s="196">
        <f t="shared" si="4"/>
        <v>0</v>
      </c>
    </row>
    <row r="33" spans="1:17" ht="18" customHeight="1" x14ac:dyDescent="0.25">
      <c r="A33" s="204"/>
      <c r="B33" s="72"/>
      <c r="C33" s="213"/>
      <c r="D33" s="72"/>
      <c r="E33" s="201">
        <v>731406</v>
      </c>
      <c r="F33" s="191" t="s">
        <v>201</v>
      </c>
      <c r="G33" s="192">
        <v>100</v>
      </c>
      <c r="H33" s="193">
        <v>0.33333333333333337</v>
      </c>
      <c r="I33" s="193">
        <v>0.33333333333333337</v>
      </c>
      <c r="J33" s="193">
        <v>0.33333333333333337</v>
      </c>
      <c r="K33" s="194">
        <f t="shared" si="1"/>
        <v>1</v>
      </c>
      <c r="L33" s="195">
        <f>+$G$33*H33</f>
        <v>33.333333333333336</v>
      </c>
      <c r="M33" s="195">
        <f t="shared" ref="M33:N33" si="27">+$G$33*I33</f>
        <v>33.333333333333336</v>
      </c>
      <c r="N33" s="195">
        <f t="shared" si="27"/>
        <v>33.333333333333336</v>
      </c>
      <c r="O33" s="195">
        <f t="shared" si="3"/>
        <v>100</v>
      </c>
      <c r="Q33" s="196">
        <f t="shared" si="4"/>
        <v>0</v>
      </c>
    </row>
    <row r="34" spans="1:17" ht="18" customHeight="1" x14ac:dyDescent="0.25">
      <c r="A34" s="204"/>
      <c r="B34" s="72"/>
      <c r="C34" s="213"/>
      <c r="D34" s="72"/>
      <c r="E34" s="190">
        <v>730802</v>
      </c>
      <c r="F34" s="191" t="s">
        <v>210</v>
      </c>
      <c r="G34" s="192">
        <v>800</v>
      </c>
      <c r="H34" s="209">
        <v>1</v>
      </c>
      <c r="I34" s="203"/>
      <c r="J34" s="203"/>
      <c r="K34" s="194">
        <f t="shared" si="1"/>
        <v>1</v>
      </c>
      <c r="L34" s="195">
        <f>+$G$34*H34</f>
        <v>800</v>
      </c>
      <c r="M34" s="195">
        <f t="shared" ref="M34:N34" si="28">+$G$34*I34</f>
        <v>0</v>
      </c>
      <c r="N34" s="195">
        <f t="shared" si="28"/>
        <v>0</v>
      </c>
      <c r="O34" s="195">
        <f t="shared" si="3"/>
        <v>800</v>
      </c>
      <c r="Q34" s="196">
        <f t="shared" si="4"/>
        <v>0</v>
      </c>
    </row>
    <row r="35" spans="1:17" ht="18" customHeight="1" x14ac:dyDescent="0.25">
      <c r="A35" s="204"/>
      <c r="B35" s="72"/>
      <c r="C35" s="214" t="s">
        <v>211</v>
      </c>
      <c r="D35" s="72"/>
      <c r="E35" s="201">
        <v>730804</v>
      </c>
      <c r="F35" s="202" t="s">
        <v>188</v>
      </c>
      <c r="G35" s="192">
        <v>200</v>
      </c>
      <c r="H35" s="209">
        <v>0.5</v>
      </c>
      <c r="I35" s="203"/>
      <c r="J35" s="203">
        <v>0.5</v>
      </c>
      <c r="K35" s="194">
        <f t="shared" si="1"/>
        <v>1</v>
      </c>
      <c r="L35" s="195">
        <f>+$G$35*H35</f>
        <v>100</v>
      </c>
      <c r="M35" s="195">
        <f t="shared" ref="M35:N35" si="29">+$G$35*I35</f>
        <v>0</v>
      </c>
      <c r="N35" s="195">
        <f t="shared" si="29"/>
        <v>100</v>
      </c>
      <c r="O35" s="195">
        <f t="shared" si="3"/>
        <v>200</v>
      </c>
      <c r="Q35" s="196">
        <f t="shared" si="4"/>
        <v>0</v>
      </c>
    </row>
    <row r="36" spans="1:17" ht="18" customHeight="1" x14ac:dyDescent="0.25">
      <c r="A36" s="205" t="s">
        <v>212</v>
      </c>
      <c r="B36" s="74" t="s">
        <v>213</v>
      </c>
      <c r="C36" s="215" t="s">
        <v>214</v>
      </c>
      <c r="D36" s="216" t="s">
        <v>215</v>
      </c>
      <c r="E36" s="201">
        <v>730801</v>
      </c>
      <c r="F36" s="191" t="s">
        <v>209</v>
      </c>
      <c r="G36" s="192">
        <v>50</v>
      </c>
      <c r="H36" s="209"/>
      <c r="I36" s="193">
        <v>0.5</v>
      </c>
      <c r="J36" s="203">
        <v>0.5</v>
      </c>
      <c r="K36" s="194">
        <f t="shared" si="1"/>
        <v>1</v>
      </c>
      <c r="L36" s="195">
        <f>+$G$36*H36</f>
        <v>0</v>
      </c>
      <c r="M36" s="195">
        <f t="shared" ref="M36:N36" si="30">+$G$36*I36</f>
        <v>25</v>
      </c>
      <c r="N36" s="195">
        <f t="shared" si="30"/>
        <v>25</v>
      </c>
      <c r="O36" s="195">
        <f t="shared" si="3"/>
        <v>50</v>
      </c>
      <c r="Q36" s="196">
        <f t="shared" si="4"/>
        <v>0</v>
      </c>
    </row>
    <row r="37" spans="1:17" ht="18" customHeight="1" x14ac:dyDescent="0.25">
      <c r="A37" s="205"/>
      <c r="B37" s="74"/>
      <c r="C37" s="217"/>
      <c r="D37" s="216"/>
      <c r="E37" s="201">
        <v>730204</v>
      </c>
      <c r="F37" s="202" t="s">
        <v>207</v>
      </c>
      <c r="G37" s="192">
        <v>200</v>
      </c>
      <c r="H37" s="209"/>
      <c r="I37" s="193">
        <v>0.5</v>
      </c>
      <c r="J37" s="203">
        <v>0.5</v>
      </c>
      <c r="K37" s="194">
        <f t="shared" si="1"/>
        <v>1</v>
      </c>
      <c r="L37" s="195">
        <f>+$G$37*H37</f>
        <v>0</v>
      </c>
      <c r="M37" s="195">
        <f t="shared" ref="M37:N37" si="31">+$G$37*I37</f>
        <v>100</v>
      </c>
      <c r="N37" s="195">
        <f t="shared" si="31"/>
        <v>100</v>
      </c>
      <c r="O37" s="195">
        <f t="shared" si="3"/>
        <v>200</v>
      </c>
      <c r="Q37" s="196">
        <f t="shared" si="4"/>
        <v>0</v>
      </c>
    </row>
    <row r="38" spans="1:17" ht="18" customHeight="1" x14ac:dyDescent="0.25">
      <c r="A38" s="218" t="s">
        <v>216</v>
      </c>
      <c r="B38" s="189" t="s">
        <v>217</v>
      </c>
      <c r="C38" s="215" t="s">
        <v>218</v>
      </c>
      <c r="D38" s="72" t="s">
        <v>219</v>
      </c>
      <c r="E38" s="210">
        <v>710105</v>
      </c>
      <c r="F38" s="191" t="s">
        <v>125</v>
      </c>
      <c r="G38" s="192">
        <v>14544</v>
      </c>
      <c r="H38" s="193">
        <v>0.33333333333333337</v>
      </c>
      <c r="I38" s="193">
        <v>0.33333333333333337</v>
      </c>
      <c r="J38" s="193">
        <v>0.33333333333333337</v>
      </c>
      <c r="K38" s="194">
        <f t="shared" si="1"/>
        <v>1</v>
      </c>
      <c r="L38" s="195">
        <f>+$G$38*H38</f>
        <v>4848.0000000000009</v>
      </c>
      <c r="M38" s="195">
        <f t="shared" ref="M38:N38" si="32">+$G$38*I38</f>
        <v>4848.0000000000009</v>
      </c>
      <c r="N38" s="195">
        <f t="shared" si="32"/>
        <v>4848.0000000000009</v>
      </c>
      <c r="O38" s="195">
        <f t="shared" si="3"/>
        <v>14544.000000000004</v>
      </c>
      <c r="Q38" s="196">
        <f t="shared" si="4"/>
        <v>0</v>
      </c>
    </row>
    <row r="39" spans="1:17" ht="18" customHeight="1" x14ac:dyDescent="0.25">
      <c r="A39" s="219"/>
      <c r="B39" s="198"/>
      <c r="C39" s="220"/>
      <c r="D39" s="72"/>
      <c r="E39" s="210">
        <v>710203</v>
      </c>
      <c r="F39" s="191" t="s">
        <v>162</v>
      </c>
      <c r="G39" s="192">
        <v>1212</v>
      </c>
      <c r="H39" s="193">
        <v>0.33333333333333337</v>
      </c>
      <c r="I39" s="193">
        <v>0.33333333333333337</v>
      </c>
      <c r="J39" s="193">
        <v>0.33333333333333337</v>
      </c>
      <c r="K39" s="194">
        <f t="shared" si="1"/>
        <v>1</v>
      </c>
      <c r="L39" s="195">
        <f>+$G$39*H39</f>
        <v>404.00000000000006</v>
      </c>
      <c r="M39" s="195">
        <f t="shared" ref="M39:N39" si="33">+$G$39*I39</f>
        <v>404.00000000000006</v>
      </c>
      <c r="N39" s="195">
        <f t="shared" si="33"/>
        <v>404.00000000000006</v>
      </c>
      <c r="O39" s="195">
        <f t="shared" si="3"/>
        <v>1212.0000000000002</v>
      </c>
      <c r="Q39" s="196">
        <f t="shared" si="4"/>
        <v>0</v>
      </c>
    </row>
    <row r="40" spans="1:17" ht="18" customHeight="1" x14ac:dyDescent="0.25">
      <c r="A40" s="219"/>
      <c r="B40" s="198"/>
      <c r="C40" s="220"/>
      <c r="D40" s="72"/>
      <c r="E40" s="210">
        <v>710204</v>
      </c>
      <c r="F40" s="191" t="s">
        <v>163</v>
      </c>
      <c r="G40" s="192">
        <v>425</v>
      </c>
      <c r="H40" s="193">
        <v>0.33333333333333337</v>
      </c>
      <c r="I40" s="193">
        <v>0.33333333333333337</v>
      </c>
      <c r="J40" s="193">
        <v>0.33333333333333337</v>
      </c>
      <c r="K40" s="194">
        <f t="shared" si="1"/>
        <v>1</v>
      </c>
      <c r="L40" s="195">
        <f>+$G$40*H40</f>
        <v>141.66666666666669</v>
      </c>
      <c r="M40" s="195">
        <f t="shared" ref="M40:N40" si="34">+$G$40*I40</f>
        <v>141.66666666666669</v>
      </c>
      <c r="N40" s="195">
        <f t="shared" si="34"/>
        <v>141.66666666666669</v>
      </c>
      <c r="O40" s="195">
        <f t="shared" si="3"/>
        <v>425.00000000000006</v>
      </c>
      <c r="Q40" s="196">
        <f t="shared" si="4"/>
        <v>0</v>
      </c>
    </row>
    <row r="41" spans="1:17" ht="18" customHeight="1" x14ac:dyDescent="0.25">
      <c r="A41" s="219"/>
      <c r="B41" s="198"/>
      <c r="C41" s="220"/>
      <c r="D41" s="72"/>
      <c r="E41" s="210">
        <v>710601</v>
      </c>
      <c r="F41" s="191" t="s">
        <v>86</v>
      </c>
      <c r="G41" s="192">
        <v>1694.38</v>
      </c>
      <c r="H41" s="193">
        <v>0.33333333333333337</v>
      </c>
      <c r="I41" s="193">
        <v>0.33333333333333337</v>
      </c>
      <c r="J41" s="193">
        <v>0.33333333333333337</v>
      </c>
      <c r="K41" s="194">
        <f t="shared" si="1"/>
        <v>1</v>
      </c>
      <c r="L41" s="195">
        <f>+$G$41*H41</f>
        <v>564.79333333333341</v>
      </c>
      <c r="M41" s="195">
        <f t="shared" ref="M41:N41" si="35">+$G$41*I41</f>
        <v>564.79333333333341</v>
      </c>
      <c r="N41" s="195">
        <f t="shared" si="35"/>
        <v>564.79333333333341</v>
      </c>
      <c r="O41" s="195">
        <f t="shared" si="3"/>
        <v>1694.38</v>
      </c>
      <c r="Q41" s="196">
        <f t="shared" si="4"/>
        <v>0</v>
      </c>
    </row>
    <row r="42" spans="1:17" ht="18" customHeight="1" x14ac:dyDescent="0.25">
      <c r="A42" s="219"/>
      <c r="B42" s="198"/>
      <c r="C42" s="220"/>
      <c r="D42" s="72"/>
      <c r="E42" s="201">
        <v>730802</v>
      </c>
      <c r="F42" s="191" t="s">
        <v>128</v>
      </c>
      <c r="G42" s="192">
        <v>1212</v>
      </c>
      <c r="H42" s="193">
        <v>0.33333333333333337</v>
      </c>
      <c r="I42" s="193">
        <v>0.33333333333333337</v>
      </c>
      <c r="J42" s="193">
        <v>0.33333333333333337</v>
      </c>
      <c r="K42" s="194">
        <f t="shared" si="1"/>
        <v>1</v>
      </c>
      <c r="L42" s="195">
        <f>+$G$42*H42</f>
        <v>404.00000000000006</v>
      </c>
      <c r="M42" s="195">
        <f t="shared" ref="M42:N42" si="36">+$G$42*I42</f>
        <v>404.00000000000006</v>
      </c>
      <c r="N42" s="195">
        <f t="shared" si="36"/>
        <v>404.00000000000006</v>
      </c>
      <c r="O42" s="195">
        <f t="shared" si="3"/>
        <v>1212.0000000000002</v>
      </c>
      <c r="Q42" s="196">
        <f t="shared" si="4"/>
        <v>0</v>
      </c>
    </row>
    <row r="43" spans="1:17" ht="18" customHeight="1" x14ac:dyDescent="0.25">
      <c r="A43" s="219"/>
      <c r="B43" s="198"/>
      <c r="C43" s="220"/>
      <c r="D43" s="72"/>
      <c r="E43" s="210">
        <v>730802</v>
      </c>
      <c r="F43" s="202" t="s">
        <v>220</v>
      </c>
      <c r="G43" s="192">
        <v>200</v>
      </c>
      <c r="H43" s="209">
        <v>1</v>
      </c>
      <c r="I43" s="221"/>
      <c r="J43" s="203"/>
      <c r="K43" s="194">
        <f t="shared" si="1"/>
        <v>1</v>
      </c>
      <c r="L43" s="195">
        <f>+$G$43*H43</f>
        <v>200</v>
      </c>
      <c r="M43" s="195">
        <f t="shared" ref="M43:N43" si="37">+$G$43*I43</f>
        <v>0</v>
      </c>
      <c r="N43" s="195">
        <f t="shared" si="37"/>
        <v>0</v>
      </c>
      <c r="O43" s="195">
        <f t="shared" si="3"/>
        <v>200</v>
      </c>
      <c r="Q43" s="196">
        <f t="shared" si="4"/>
        <v>0</v>
      </c>
    </row>
    <row r="44" spans="1:17" ht="18" customHeight="1" x14ac:dyDescent="0.25">
      <c r="A44" s="219"/>
      <c r="B44" s="198"/>
      <c r="C44" s="220"/>
      <c r="D44" s="72"/>
      <c r="E44" s="210">
        <v>731406</v>
      </c>
      <c r="F44" s="202" t="s">
        <v>201</v>
      </c>
      <c r="G44" s="192">
        <v>100</v>
      </c>
      <c r="H44" s="193">
        <v>0.33333333333333337</v>
      </c>
      <c r="I44" s="193">
        <v>0.33333333333333337</v>
      </c>
      <c r="J44" s="193">
        <v>0.33333333333333337</v>
      </c>
      <c r="K44" s="194">
        <f t="shared" si="1"/>
        <v>1</v>
      </c>
      <c r="L44" s="195">
        <f>+$G$44*H44</f>
        <v>33.333333333333336</v>
      </c>
      <c r="M44" s="195">
        <f t="shared" ref="M44:N44" si="38">+$G$44*I44</f>
        <v>33.333333333333336</v>
      </c>
      <c r="N44" s="195">
        <f t="shared" si="38"/>
        <v>33.333333333333336</v>
      </c>
      <c r="O44" s="195">
        <f t="shared" si="3"/>
        <v>100</v>
      </c>
      <c r="Q44" s="196">
        <f t="shared" si="4"/>
        <v>0</v>
      </c>
    </row>
    <row r="45" spans="1:17" ht="18" customHeight="1" x14ac:dyDescent="0.25">
      <c r="A45" s="219"/>
      <c r="B45" s="198"/>
      <c r="C45" s="220"/>
      <c r="D45" s="72"/>
      <c r="E45" s="210">
        <v>730404</v>
      </c>
      <c r="F45" s="202" t="s">
        <v>221</v>
      </c>
      <c r="G45" s="192">
        <v>1500</v>
      </c>
      <c r="H45" s="209">
        <v>1</v>
      </c>
      <c r="I45" s="221"/>
      <c r="J45" s="203"/>
      <c r="K45" s="194">
        <f t="shared" si="1"/>
        <v>1</v>
      </c>
      <c r="L45" s="195">
        <f>+$G$45*H45</f>
        <v>1500</v>
      </c>
      <c r="M45" s="195">
        <f t="shared" ref="M45:N45" si="39">+$G$45*I45</f>
        <v>0</v>
      </c>
      <c r="N45" s="195">
        <f t="shared" si="39"/>
        <v>0</v>
      </c>
      <c r="O45" s="195">
        <f t="shared" si="3"/>
        <v>1500</v>
      </c>
      <c r="Q45" s="196">
        <f t="shared" si="4"/>
        <v>0</v>
      </c>
    </row>
    <row r="46" spans="1:17" ht="18" customHeight="1" x14ac:dyDescent="0.25">
      <c r="A46" s="219"/>
      <c r="B46" s="198"/>
      <c r="C46" s="220"/>
      <c r="D46" s="72"/>
      <c r="E46" s="210">
        <v>730813</v>
      </c>
      <c r="F46" s="191" t="s">
        <v>198</v>
      </c>
      <c r="G46" s="192">
        <v>350</v>
      </c>
      <c r="H46" s="209">
        <v>1</v>
      </c>
      <c r="I46" s="221"/>
      <c r="J46" s="203"/>
      <c r="K46" s="194">
        <f t="shared" si="1"/>
        <v>1</v>
      </c>
      <c r="L46" s="195">
        <f>+$G$46*H46</f>
        <v>350</v>
      </c>
      <c r="M46" s="195">
        <f t="shared" ref="M46:N46" si="40">+$G$46*I46</f>
        <v>0</v>
      </c>
      <c r="N46" s="195">
        <f t="shared" si="40"/>
        <v>0</v>
      </c>
      <c r="O46" s="195">
        <f t="shared" si="3"/>
        <v>350</v>
      </c>
      <c r="Q46" s="196">
        <f t="shared" si="4"/>
        <v>0</v>
      </c>
    </row>
    <row r="47" spans="1:17" ht="18" customHeight="1" x14ac:dyDescent="0.25">
      <c r="A47" s="219"/>
      <c r="B47" s="198"/>
      <c r="C47" s="217"/>
      <c r="D47" s="72"/>
      <c r="E47" s="201">
        <v>730811</v>
      </c>
      <c r="F47" s="202" t="s">
        <v>222</v>
      </c>
      <c r="G47" s="192">
        <v>150</v>
      </c>
      <c r="H47" s="193">
        <v>0.33333333333333337</v>
      </c>
      <c r="I47" s="193">
        <v>0.33333333333333337</v>
      </c>
      <c r="J47" s="193">
        <v>0.33333333333333337</v>
      </c>
      <c r="K47" s="194">
        <f t="shared" si="1"/>
        <v>1</v>
      </c>
      <c r="L47" s="195">
        <f>+$G$47*H47</f>
        <v>50.000000000000007</v>
      </c>
      <c r="M47" s="195">
        <f t="shared" ref="M47:N47" si="41">+$G$47*I47</f>
        <v>50.000000000000007</v>
      </c>
      <c r="N47" s="195">
        <f t="shared" si="41"/>
        <v>50.000000000000007</v>
      </c>
      <c r="O47" s="195">
        <f t="shared" si="3"/>
        <v>150.00000000000003</v>
      </c>
      <c r="Q47" s="196">
        <f t="shared" si="4"/>
        <v>0</v>
      </c>
    </row>
    <row r="48" spans="1:17" ht="18" customHeight="1" x14ac:dyDescent="0.25">
      <c r="A48" s="219"/>
      <c r="B48" s="198"/>
      <c r="C48" s="213" t="s">
        <v>223</v>
      </c>
      <c r="D48" s="74" t="s">
        <v>224</v>
      </c>
      <c r="E48" s="201">
        <v>730609</v>
      </c>
      <c r="F48" s="191" t="s">
        <v>225</v>
      </c>
      <c r="G48" s="192">
        <v>1500</v>
      </c>
      <c r="H48" s="209">
        <v>0.3</v>
      </c>
      <c r="I48" s="203">
        <v>0.4</v>
      </c>
      <c r="J48" s="203">
        <v>0.3</v>
      </c>
      <c r="K48" s="194">
        <f t="shared" si="1"/>
        <v>1</v>
      </c>
      <c r="L48" s="195">
        <f>+$G$48*H48</f>
        <v>450</v>
      </c>
      <c r="M48" s="195">
        <f t="shared" ref="M48:N48" si="42">+$G$48*I48</f>
        <v>600</v>
      </c>
      <c r="N48" s="195">
        <f t="shared" si="42"/>
        <v>450</v>
      </c>
      <c r="O48" s="195">
        <f t="shared" si="3"/>
        <v>1500</v>
      </c>
      <c r="Q48" s="196">
        <f t="shared" si="4"/>
        <v>0</v>
      </c>
    </row>
    <row r="49" spans="1:27" ht="18" customHeight="1" x14ac:dyDescent="0.25">
      <c r="A49" s="219"/>
      <c r="B49" s="198"/>
      <c r="C49" s="213"/>
      <c r="D49" s="74"/>
      <c r="E49" s="33">
        <v>730235</v>
      </c>
      <c r="F49" s="202" t="s">
        <v>226</v>
      </c>
      <c r="G49" s="192">
        <v>5400</v>
      </c>
      <c r="H49" s="209"/>
      <c r="I49" s="203">
        <v>1</v>
      </c>
      <c r="J49" s="203"/>
      <c r="K49" s="194">
        <f t="shared" si="1"/>
        <v>1</v>
      </c>
      <c r="L49" s="195">
        <f>+$G$49*H49</f>
        <v>0</v>
      </c>
      <c r="M49" s="195">
        <f t="shared" ref="M49:N49" si="43">+$G$49*I49</f>
        <v>5400</v>
      </c>
      <c r="N49" s="195">
        <f t="shared" si="43"/>
        <v>0</v>
      </c>
      <c r="O49" s="195">
        <f t="shared" si="3"/>
        <v>5400</v>
      </c>
      <c r="Q49" s="196">
        <f t="shared" si="4"/>
        <v>0</v>
      </c>
    </row>
    <row r="50" spans="1:27" ht="18" customHeight="1" x14ac:dyDescent="0.25">
      <c r="A50" s="219"/>
      <c r="B50" s="198"/>
      <c r="C50" s="213"/>
      <c r="D50" s="74"/>
      <c r="E50" s="33">
        <v>730301</v>
      </c>
      <c r="F50" s="202" t="s">
        <v>72</v>
      </c>
      <c r="G50" s="192">
        <v>600</v>
      </c>
      <c r="H50" s="209"/>
      <c r="I50" s="203">
        <v>1</v>
      </c>
      <c r="J50" s="203"/>
      <c r="K50" s="194">
        <f t="shared" si="1"/>
        <v>1</v>
      </c>
      <c r="L50" s="195">
        <f>+$G$50*H50</f>
        <v>0</v>
      </c>
      <c r="M50" s="195">
        <f t="shared" ref="M50:N50" si="44">+$G$50*I50</f>
        <v>600</v>
      </c>
      <c r="N50" s="195">
        <f t="shared" si="44"/>
        <v>0</v>
      </c>
      <c r="O50" s="195">
        <f t="shared" si="3"/>
        <v>600</v>
      </c>
      <c r="Q50" s="196">
        <f t="shared" si="4"/>
        <v>0</v>
      </c>
    </row>
    <row r="51" spans="1:27" ht="18" customHeight="1" x14ac:dyDescent="0.25">
      <c r="A51" s="219"/>
      <c r="B51" s="198"/>
      <c r="C51" s="213"/>
      <c r="D51" s="74"/>
      <c r="E51" s="201">
        <v>730601</v>
      </c>
      <c r="F51" s="191" t="s">
        <v>227</v>
      </c>
      <c r="G51" s="192">
        <v>5000</v>
      </c>
      <c r="H51" s="209"/>
      <c r="I51" s="203">
        <v>1</v>
      </c>
      <c r="J51" s="203"/>
      <c r="K51" s="194">
        <f t="shared" si="1"/>
        <v>1</v>
      </c>
      <c r="L51" s="195">
        <f>+$G$51*H51</f>
        <v>0</v>
      </c>
      <c r="M51" s="195">
        <f t="shared" ref="M51:N51" si="45">+$G$51*I51</f>
        <v>5000</v>
      </c>
      <c r="N51" s="195">
        <f t="shared" si="45"/>
        <v>0</v>
      </c>
      <c r="O51" s="195">
        <f t="shared" si="3"/>
        <v>5000</v>
      </c>
      <c r="Q51" s="196">
        <f t="shared" si="4"/>
        <v>0</v>
      </c>
    </row>
    <row r="52" spans="1:27" ht="18" customHeight="1" x14ac:dyDescent="0.25">
      <c r="A52" s="219"/>
      <c r="B52" s="200"/>
      <c r="C52" s="213"/>
      <c r="D52" s="74"/>
      <c r="E52" s="201">
        <v>730204</v>
      </c>
      <c r="F52" s="202" t="s">
        <v>207</v>
      </c>
      <c r="G52" s="192">
        <v>1000</v>
      </c>
      <c r="H52" s="209"/>
      <c r="I52" s="203">
        <v>0.5</v>
      </c>
      <c r="J52" s="203">
        <v>0.5</v>
      </c>
      <c r="K52" s="194">
        <f t="shared" si="1"/>
        <v>1</v>
      </c>
      <c r="L52" s="195">
        <f>+$G$52*H52</f>
        <v>0</v>
      </c>
      <c r="M52" s="195">
        <f t="shared" ref="M52:N52" si="46">+$G$52*I52</f>
        <v>500</v>
      </c>
      <c r="N52" s="195">
        <f t="shared" si="46"/>
        <v>500</v>
      </c>
      <c r="O52" s="195">
        <f t="shared" si="3"/>
        <v>1000</v>
      </c>
      <c r="Q52" s="196">
        <f t="shared" si="4"/>
        <v>0</v>
      </c>
    </row>
    <row r="53" spans="1:27" ht="18" customHeight="1" x14ac:dyDescent="0.25">
      <c r="A53" s="219"/>
      <c r="B53" s="222" t="s">
        <v>228</v>
      </c>
      <c r="C53" s="74" t="s">
        <v>229</v>
      </c>
      <c r="D53" s="72" t="s">
        <v>230</v>
      </c>
      <c r="E53" s="210">
        <v>710105</v>
      </c>
      <c r="F53" s="191" t="s">
        <v>125</v>
      </c>
      <c r="G53" s="192">
        <v>13032</v>
      </c>
      <c r="H53" s="193">
        <v>0.33333333333333337</v>
      </c>
      <c r="I53" s="193">
        <v>0.33333333333333337</v>
      </c>
      <c r="J53" s="193">
        <v>0.33333333333333337</v>
      </c>
      <c r="K53" s="194">
        <f t="shared" si="1"/>
        <v>1</v>
      </c>
      <c r="L53" s="195">
        <f>+$G$53*H53</f>
        <v>4344.0000000000009</v>
      </c>
      <c r="M53" s="195">
        <f t="shared" ref="M53:N53" si="47">+$G$53*I53</f>
        <v>4344.0000000000009</v>
      </c>
      <c r="N53" s="195">
        <f t="shared" si="47"/>
        <v>4344.0000000000009</v>
      </c>
      <c r="O53" s="195">
        <f t="shared" si="3"/>
        <v>13032.000000000004</v>
      </c>
      <c r="Q53" s="196">
        <f t="shared" si="4"/>
        <v>0</v>
      </c>
    </row>
    <row r="54" spans="1:27" ht="18" customHeight="1" x14ac:dyDescent="0.25">
      <c r="A54" s="219"/>
      <c r="B54" s="222"/>
      <c r="C54" s="74"/>
      <c r="D54" s="72"/>
      <c r="E54" s="210">
        <v>710203</v>
      </c>
      <c r="F54" s="191" t="s">
        <v>162</v>
      </c>
      <c r="G54" s="192">
        <v>1086</v>
      </c>
      <c r="H54" s="193">
        <v>0.33333333333333337</v>
      </c>
      <c r="I54" s="193">
        <v>0.33333333333333337</v>
      </c>
      <c r="J54" s="193">
        <v>0.33333333333333337</v>
      </c>
      <c r="K54" s="194">
        <f t="shared" si="1"/>
        <v>1</v>
      </c>
      <c r="L54" s="195">
        <f>+$G$54*H54</f>
        <v>362.00000000000006</v>
      </c>
      <c r="M54" s="195">
        <f t="shared" ref="M54:N54" si="48">+$G$54*I54</f>
        <v>362.00000000000006</v>
      </c>
      <c r="N54" s="195">
        <f t="shared" si="48"/>
        <v>362.00000000000006</v>
      </c>
      <c r="O54" s="195">
        <f t="shared" si="3"/>
        <v>1086.0000000000002</v>
      </c>
      <c r="Q54" s="196">
        <f t="shared" si="4"/>
        <v>0</v>
      </c>
    </row>
    <row r="55" spans="1:27" ht="18" customHeight="1" x14ac:dyDescent="0.25">
      <c r="A55" s="219"/>
      <c r="B55" s="222"/>
      <c r="C55" s="74"/>
      <c r="D55" s="72"/>
      <c r="E55" s="210">
        <v>710204</v>
      </c>
      <c r="F55" s="191" t="s">
        <v>163</v>
      </c>
      <c r="G55" s="192">
        <v>425</v>
      </c>
      <c r="H55" s="193">
        <v>0.33333333333333337</v>
      </c>
      <c r="I55" s="193">
        <v>0.33333333333333337</v>
      </c>
      <c r="J55" s="193">
        <v>0.33333333333333337</v>
      </c>
      <c r="K55" s="194">
        <f t="shared" si="1"/>
        <v>1</v>
      </c>
      <c r="L55" s="195">
        <f>+$G$55*H55</f>
        <v>141.66666666666669</v>
      </c>
      <c r="M55" s="195">
        <f t="shared" ref="M55:N55" si="49">+$G$55*I55</f>
        <v>141.66666666666669</v>
      </c>
      <c r="N55" s="195">
        <f t="shared" si="49"/>
        <v>141.66666666666669</v>
      </c>
      <c r="O55" s="195">
        <f t="shared" si="3"/>
        <v>425.00000000000006</v>
      </c>
      <c r="Q55" s="196">
        <f t="shared" si="4"/>
        <v>0</v>
      </c>
    </row>
    <row r="56" spans="1:27" ht="18" customHeight="1" x14ac:dyDescent="0.25">
      <c r="A56" s="219"/>
      <c r="B56" s="222"/>
      <c r="C56" s="74"/>
      <c r="D56" s="72"/>
      <c r="E56" s="210">
        <v>710601</v>
      </c>
      <c r="F56" s="191" t="s">
        <v>86</v>
      </c>
      <c r="G56" s="192">
        <v>1518.22</v>
      </c>
      <c r="H56" s="193">
        <v>0.33333333333333337</v>
      </c>
      <c r="I56" s="193">
        <v>0.33333333333333337</v>
      </c>
      <c r="J56" s="193">
        <v>0.33333333333333337</v>
      </c>
      <c r="K56" s="194">
        <f t="shared" si="1"/>
        <v>1</v>
      </c>
      <c r="L56" s="195">
        <f>+$G$56*H56</f>
        <v>506.07333333333338</v>
      </c>
      <c r="M56" s="195">
        <f t="shared" ref="M56:N56" si="50">+$G$56*I56</f>
        <v>506.07333333333338</v>
      </c>
      <c r="N56" s="195">
        <f t="shared" si="50"/>
        <v>506.07333333333338</v>
      </c>
      <c r="O56" s="195">
        <f t="shared" si="3"/>
        <v>1518.2200000000003</v>
      </c>
      <c r="Q56" s="196">
        <f t="shared" si="4"/>
        <v>0</v>
      </c>
    </row>
    <row r="57" spans="1:27" ht="18" customHeight="1" x14ac:dyDescent="0.25">
      <c r="A57" s="219"/>
      <c r="B57" s="222"/>
      <c r="C57" s="74"/>
      <c r="D57" s="72"/>
      <c r="E57" s="210">
        <v>710602</v>
      </c>
      <c r="F57" s="191" t="s">
        <v>128</v>
      </c>
      <c r="G57" s="192">
        <v>1086</v>
      </c>
      <c r="H57" s="193">
        <v>0.33333333333333337</v>
      </c>
      <c r="I57" s="193">
        <v>0.33333333333333337</v>
      </c>
      <c r="J57" s="193">
        <v>0.33333333333333337</v>
      </c>
      <c r="K57" s="194">
        <f t="shared" si="1"/>
        <v>1</v>
      </c>
      <c r="L57" s="195">
        <f>+$G$57*H57</f>
        <v>362.00000000000006</v>
      </c>
      <c r="M57" s="195">
        <f t="shared" ref="M57:N57" si="51">+$G$57*I57</f>
        <v>362.00000000000006</v>
      </c>
      <c r="N57" s="195">
        <f t="shared" si="51"/>
        <v>362.00000000000006</v>
      </c>
      <c r="O57" s="195">
        <f t="shared" si="3"/>
        <v>1086.0000000000002</v>
      </c>
      <c r="Q57" s="196">
        <f t="shared" si="4"/>
        <v>0</v>
      </c>
      <c r="AA57" s="223"/>
    </row>
    <row r="58" spans="1:27" ht="18" customHeight="1" x14ac:dyDescent="0.25">
      <c r="A58" s="219"/>
      <c r="B58" s="222"/>
      <c r="C58" s="74" t="s">
        <v>223</v>
      </c>
      <c r="D58" s="72"/>
      <c r="E58" s="201">
        <v>730204</v>
      </c>
      <c r="F58" s="202" t="s">
        <v>207</v>
      </c>
      <c r="G58" s="192">
        <v>1200</v>
      </c>
      <c r="H58" s="209"/>
      <c r="I58" s="203">
        <v>0.5</v>
      </c>
      <c r="J58" s="203">
        <v>0.5</v>
      </c>
      <c r="K58" s="194">
        <f t="shared" si="1"/>
        <v>1</v>
      </c>
      <c r="L58" s="195">
        <f>+$G$58*H58</f>
        <v>0</v>
      </c>
      <c r="M58" s="195">
        <f t="shared" ref="M58:N58" si="52">+$G$58*I58</f>
        <v>600</v>
      </c>
      <c r="N58" s="195">
        <f t="shared" si="52"/>
        <v>600</v>
      </c>
      <c r="O58" s="195">
        <f t="shared" si="3"/>
        <v>1200</v>
      </c>
      <c r="Q58" s="196">
        <f t="shared" si="4"/>
        <v>0</v>
      </c>
      <c r="AA58" s="223"/>
    </row>
    <row r="59" spans="1:27" ht="18" customHeight="1" x14ac:dyDescent="0.25">
      <c r="A59" s="219"/>
      <c r="B59" s="222"/>
      <c r="C59" s="74"/>
      <c r="D59" s="72"/>
      <c r="E59" s="201">
        <v>730804</v>
      </c>
      <c r="F59" s="202" t="s">
        <v>25</v>
      </c>
      <c r="G59" s="192">
        <v>300</v>
      </c>
      <c r="H59" s="209"/>
      <c r="I59" s="203">
        <v>0.5</v>
      </c>
      <c r="J59" s="203">
        <v>0.5</v>
      </c>
      <c r="K59" s="194">
        <f t="shared" si="1"/>
        <v>1</v>
      </c>
      <c r="L59" s="195">
        <f>+$G$59*H59</f>
        <v>0</v>
      </c>
      <c r="M59" s="195">
        <f t="shared" ref="M59:N59" si="53">+$G$59*I59</f>
        <v>150</v>
      </c>
      <c r="N59" s="195">
        <f t="shared" si="53"/>
        <v>150</v>
      </c>
      <c r="O59" s="195">
        <f t="shared" si="3"/>
        <v>300</v>
      </c>
      <c r="Q59" s="196">
        <f t="shared" si="4"/>
        <v>0</v>
      </c>
      <c r="AA59" s="223"/>
    </row>
    <row r="60" spans="1:27" ht="18" customHeight="1" x14ac:dyDescent="0.25">
      <c r="A60" s="219"/>
      <c r="B60" s="222"/>
      <c r="C60" s="74"/>
      <c r="D60" s="72"/>
      <c r="E60" s="201">
        <v>730811</v>
      </c>
      <c r="F60" s="202" t="s">
        <v>222</v>
      </c>
      <c r="G60" s="192">
        <v>5000</v>
      </c>
      <c r="H60" s="193">
        <v>0.33333333333333337</v>
      </c>
      <c r="I60" s="193">
        <v>0.33333333333333337</v>
      </c>
      <c r="J60" s="193">
        <v>0.33333333333333337</v>
      </c>
      <c r="K60" s="194">
        <f t="shared" si="1"/>
        <v>1</v>
      </c>
      <c r="L60" s="195">
        <f>+$G$60*H60</f>
        <v>1666.6666666666667</v>
      </c>
      <c r="M60" s="195">
        <f t="shared" ref="M60:N60" si="54">+$G$60*I60</f>
        <v>1666.6666666666667</v>
      </c>
      <c r="N60" s="195">
        <f t="shared" si="54"/>
        <v>1666.6666666666667</v>
      </c>
      <c r="O60" s="195">
        <f t="shared" si="3"/>
        <v>5000</v>
      </c>
      <c r="Q60" s="196">
        <f t="shared" si="4"/>
        <v>0</v>
      </c>
      <c r="AA60" s="223"/>
    </row>
    <row r="61" spans="1:27" ht="18" customHeight="1" x14ac:dyDescent="0.25">
      <c r="A61" s="219"/>
      <c r="B61" s="222"/>
      <c r="C61" s="74"/>
      <c r="D61" s="72"/>
      <c r="E61" s="201">
        <v>310.73080199999998</v>
      </c>
      <c r="F61" s="202" t="s">
        <v>210</v>
      </c>
      <c r="G61" s="192">
        <v>200</v>
      </c>
      <c r="H61" s="224">
        <v>1</v>
      </c>
      <c r="I61" s="225"/>
      <c r="J61" s="225"/>
      <c r="K61" s="226">
        <f t="shared" si="1"/>
        <v>1</v>
      </c>
      <c r="L61" s="227">
        <f>+$G$61*H61</f>
        <v>200</v>
      </c>
      <c r="M61" s="227">
        <f t="shared" ref="M61:N61" si="55">+$G$61*I61</f>
        <v>0</v>
      </c>
      <c r="N61" s="227">
        <f t="shared" si="55"/>
        <v>0</v>
      </c>
      <c r="O61" s="227">
        <f t="shared" si="3"/>
        <v>200</v>
      </c>
      <c r="Q61" s="196">
        <f t="shared" si="4"/>
        <v>0</v>
      </c>
      <c r="AA61" s="223"/>
    </row>
    <row r="62" spans="1:27" ht="18" customHeight="1" x14ac:dyDescent="0.35">
      <c r="B62" s="228" t="s">
        <v>231</v>
      </c>
      <c r="C62" s="228"/>
      <c r="D62" s="228"/>
      <c r="E62" s="228"/>
      <c r="F62" s="228"/>
      <c r="G62" s="229">
        <f>SUM(G9:G61)</f>
        <v>203691.38</v>
      </c>
      <c r="H62" s="75"/>
      <c r="I62" s="75"/>
      <c r="J62" s="75"/>
      <c r="K62" s="75"/>
      <c r="L62" s="195">
        <f>SUM(L9:L61)</f>
        <v>58473.643333333348</v>
      </c>
      <c r="M62" s="195">
        <f t="shared" ref="M62:N62" si="56">SUM(M9:M61)</f>
        <v>97569.093333333338</v>
      </c>
      <c r="N62" s="195">
        <f t="shared" si="56"/>
        <v>47648.643333333333</v>
      </c>
      <c r="O62" s="195">
        <f t="shared" si="3"/>
        <v>203691.38000000003</v>
      </c>
    </row>
    <row r="63" spans="1:27" ht="18" customHeight="1" x14ac:dyDescent="0.25">
      <c r="J63" s="230"/>
      <c r="L63" s="231"/>
      <c r="O63" s="232"/>
      <c r="P63" s="233"/>
    </row>
    <row r="64" spans="1:27" ht="18" customHeight="1" x14ac:dyDescent="0.25">
      <c r="J64" s="230"/>
      <c r="L64" s="231"/>
      <c r="O64" s="232"/>
      <c r="P64" s="233"/>
    </row>
    <row r="65" spans="1:17" ht="18" customHeight="1" x14ac:dyDescent="0.25">
      <c r="B65" s="16"/>
      <c r="C65" s="16" t="s">
        <v>0</v>
      </c>
      <c r="D65" s="91" t="s">
        <v>232</v>
      </c>
      <c r="E65" s="91"/>
      <c r="F65" s="91"/>
      <c r="G65" s="16" t="s">
        <v>1</v>
      </c>
      <c r="H65" s="75"/>
      <c r="I65" s="75"/>
      <c r="J65" s="75"/>
      <c r="K65" s="75"/>
      <c r="L65" s="75"/>
      <c r="M65" s="75"/>
      <c r="N65" s="75"/>
      <c r="O65" s="75"/>
      <c r="P65" s="233"/>
    </row>
    <row r="66" spans="1:17" ht="18" customHeight="1" x14ac:dyDescent="0.25">
      <c r="A66" s="92" t="s">
        <v>91</v>
      </c>
      <c r="B66" s="92"/>
      <c r="C66" s="17" t="s">
        <v>6</v>
      </c>
      <c r="D66" s="85"/>
      <c r="E66" s="85"/>
      <c r="F66" s="85"/>
      <c r="G66" s="85"/>
      <c r="H66" s="85"/>
      <c r="I66" s="85"/>
      <c r="J66" s="85"/>
      <c r="K66" s="85"/>
      <c r="L66" s="85"/>
      <c r="M66" s="85"/>
      <c r="N66" s="85"/>
      <c r="O66" s="85"/>
      <c r="P66" s="233"/>
    </row>
    <row r="67" spans="1:17" ht="18" customHeight="1" x14ac:dyDescent="0.25">
      <c r="A67" s="92"/>
      <c r="B67" s="92"/>
      <c r="C67" s="17" t="s">
        <v>7</v>
      </c>
      <c r="D67" s="85"/>
      <c r="E67" s="85"/>
      <c r="F67" s="85"/>
      <c r="G67" s="85"/>
      <c r="H67" s="85"/>
      <c r="I67" s="85"/>
      <c r="J67" s="85"/>
      <c r="K67" s="85"/>
      <c r="L67" s="85"/>
      <c r="M67" s="85"/>
      <c r="N67" s="85"/>
      <c r="O67" s="85"/>
      <c r="P67" s="233"/>
    </row>
    <row r="68" spans="1:17" ht="18" customHeight="1" x14ac:dyDescent="0.25">
      <c r="A68" s="83" t="s">
        <v>92</v>
      </c>
      <c r="B68" s="83"/>
      <c r="C68" s="18" t="s">
        <v>8</v>
      </c>
      <c r="D68" s="180" t="s">
        <v>178</v>
      </c>
      <c r="E68" s="181"/>
      <c r="F68" s="181"/>
      <c r="G68" s="181"/>
      <c r="H68" s="181"/>
      <c r="I68" s="181"/>
      <c r="J68" s="181"/>
      <c r="K68" s="181"/>
      <c r="L68" s="181"/>
      <c r="M68" s="181"/>
      <c r="N68" s="181"/>
      <c r="O68" s="182"/>
      <c r="P68" s="233"/>
    </row>
    <row r="69" spans="1:17" ht="18" customHeight="1" x14ac:dyDescent="0.25">
      <c r="A69" s="83"/>
      <c r="B69" s="83"/>
      <c r="C69" s="18" t="s">
        <v>9</v>
      </c>
      <c r="D69" s="183" t="s">
        <v>233</v>
      </c>
      <c r="E69" s="184"/>
      <c r="F69" s="184"/>
      <c r="G69" s="184"/>
      <c r="H69" s="184"/>
      <c r="I69" s="184"/>
      <c r="J69" s="184"/>
      <c r="K69" s="184"/>
      <c r="L69" s="184"/>
      <c r="M69" s="184"/>
      <c r="N69" s="184"/>
      <c r="O69" s="185"/>
      <c r="P69" s="233"/>
    </row>
    <row r="70" spans="1:17" ht="18" customHeight="1" x14ac:dyDescent="0.25">
      <c r="A70" s="86" t="s">
        <v>2</v>
      </c>
      <c r="B70" s="87"/>
      <c r="C70" s="87"/>
      <c r="D70" s="87"/>
      <c r="E70" s="87"/>
      <c r="F70" s="87"/>
      <c r="G70" s="88"/>
      <c r="H70" s="89" t="s">
        <v>3</v>
      </c>
      <c r="I70" s="90"/>
      <c r="J70" s="90"/>
      <c r="K70" s="90"/>
      <c r="L70" s="90"/>
      <c r="M70" s="90"/>
      <c r="N70" s="90"/>
      <c r="O70" s="79"/>
      <c r="P70" s="233"/>
    </row>
    <row r="71" spans="1:17" ht="18" customHeight="1" x14ac:dyDescent="0.25">
      <c r="A71" s="140" t="s">
        <v>10</v>
      </c>
      <c r="B71" s="140" t="s">
        <v>11</v>
      </c>
      <c r="C71" s="140" t="s">
        <v>12</v>
      </c>
      <c r="D71" s="140" t="s">
        <v>94</v>
      </c>
      <c r="E71" s="141" t="s">
        <v>13</v>
      </c>
      <c r="F71" s="140" t="s">
        <v>14</v>
      </c>
      <c r="G71" s="142" t="s">
        <v>95</v>
      </c>
      <c r="H71" s="79" t="s">
        <v>4</v>
      </c>
      <c r="I71" s="80"/>
      <c r="J71" s="80"/>
      <c r="K71" s="80"/>
      <c r="L71" s="80" t="s">
        <v>5</v>
      </c>
      <c r="M71" s="80"/>
      <c r="N71" s="80"/>
      <c r="O71" s="89"/>
      <c r="P71" s="234"/>
    </row>
    <row r="72" spans="1:17" ht="18" customHeight="1" x14ac:dyDescent="0.25">
      <c r="A72" s="143"/>
      <c r="B72" s="143"/>
      <c r="C72" s="143"/>
      <c r="D72" s="143"/>
      <c r="E72" s="144"/>
      <c r="F72" s="143"/>
      <c r="G72" s="145"/>
      <c r="H72" s="25" t="s">
        <v>15</v>
      </c>
      <c r="I72" s="25" t="s">
        <v>16</v>
      </c>
      <c r="J72" s="25" t="s">
        <v>17</v>
      </c>
      <c r="K72" s="25" t="s">
        <v>18</v>
      </c>
      <c r="L72" s="25" t="s">
        <v>15</v>
      </c>
      <c r="M72" s="25" t="s">
        <v>16</v>
      </c>
      <c r="N72" s="25" t="s">
        <v>17</v>
      </c>
      <c r="O72" s="235" t="s">
        <v>18</v>
      </c>
      <c r="P72" s="234"/>
    </row>
    <row r="73" spans="1:17" ht="18" customHeight="1" x14ac:dyDescent="0.25">
      <c r="A73" s="72" t="s">
        <v>232</v>
      </c>
      <c r="B73" s="72" t="s">
        <v>234</v>
      </c>
      <c r="C73" s="72" t="s">
        <v>235</v>
      </c>
      <c r="D73" s="72" t="s">
        <v>236</v>
      </c>
      <c r="E73" s="236">
        <v>710105</v>
      </c>
      <c r="F73" s="191" t="s">
        <v>125</v>
      </c>
      <c r="G73" s="237">
        <v>13032</v>
      </c>
      <c r="H73" s="238">
        <v>0.33333333333333337</v>
      </c>
      <c r="I73" s="238">
        <v>0.33333333333333337</v>
      </c>
      <c r="J73" s="238">
        <v>0.33333333333333337</v>
      </c>
      <c r="K73" s="239">
        <f>SUM(H73:J73)</f>
        <v>1</v>
      </c>
      <c r="L73" s="240">
        <f>+$G$73*H73</f>
        <v>4344.0000000000009</v>
      </c>
      <c r="M73" s="240">
        <f t="shared" ref="M73:N73" si="57">+$G$73*I73</f>
        <v>4344.0000000000009</v>
      </c>
      <c r="N73" s="240">
        <f t="shared" si="57"/>
        <v>4344.0000000000009</v>
      </c>
      <c r="O73" s="241">
        <f>SUM(L73:N73)</f>
        <v>13032.000000000004</v>
      </c>
      <c r="Q73" s="242"/>
    </row>
    <row r="74" spans="1:17" ht="18" customHeight="1" x14ac:dyDescent="0.25">
      <c r="A74" s="72"/>
      <c r="B74" s="72"/>
      <c r="C74" s="72"/>
      <c r="D74" s="72"/>
      <c r="E74" s="236">
        <v>710203</v>
      </c>
      <c r="F74" s="191" t="s">
        <v>162</v>
      </c>
      <c r="G74" s="237">
        <v>1086</v>
      </c>
      <c r="H74" s="238">
        <v>0.33333333333333337</v>
      </c>
      <c r="I74" s="238">
        <v>0.33333333333333337</v>
      </c>
      <c r="J74" s="238">
        <v>0.33333333333333337</v>
      </c>
      <c r="K74" s="239">
        <f t="shared" ref="K74:K89" si="58">SUM(H74:J74)</f>
        <v>1</v>
      </c>
      <c r="L74" s="240">
        <f>+$G$74*H74</f>
        <v>362.00000000000006</v>
      </c>
      <c r="M74" s="240">
        <f t="shared" ref="M74:N74" si="59">+$G$74*I74</f>
        <v>362.00000000000006</v>
      </c>
      <c r="N74" s="240">
        <f t="shared" si="59"/>
        <v>362.00000000000006</v>
      </c>
      <c r="O74" s="241">
        <f t="shared" ref="O74:O89" si="60">SUM(L74:N74)</f>
        <v>1086.0000000000002</v>
      </c>
      <c r="Q74" s="242"/>
    </row>
    <row r="75" spans="1:17" ht="18" customHeight="1" x14ac:dyDescent="0.25">
      <c r="A75" s="72"/>
      <c r="B75" s="72"/>
      <c r="C75" s="72"/>
      <c r="D75" s="72"/>
      <c r="E75" s="236">
        <v>710204</v>
      </c>
      <c r="F75" s="191" t="s">
        <v>163</v>
      </c>
      <c r="G75" s="237">
        <v>425</v>
      </c>
      <c r="H75" s="238">
        <v>0.33333333333333337</v>
      </c>
      <c r="I75" s="238">
        <v>0.33333333333333337</v>
      </c>
      <c r="J75" s="238">
        <v>0.33333333333333337</v>
      </c>
      <c r="K75" s="239">
        <f t="shared" si="58"/>
        <v>1</v>
      </c>
      <c r="L75" s="240">
        <f>+$G$75*H75</f>
        <v>141.66666666666669</v>
      </c>
      <c r="M75" s="240">
        <f t="shared" ref="M75:N75" si="61">+$G$75*I75</f>
        <v>141.66666666666669</v>
      </c>
      <c r="N75" s="240">
        <f t="shared" si="61"/>
        <v>141.66666666666669</v>
      </c>
      <c r="O75" s="241">
        <f t="shared" si="60"/>
        <v>425.00000000000006</v>
      </c>
      <c r="Q75" s="242"/>
    </row>
    <row r="76" spans="1:17" ht="18" customHeight="1" x14ac:dyDescent="0.25">
      <c r="A76" s="72"/>
      <c r="B76" s="72"/>
      <c r="C76" s="72"/>
      <c r="D76" s="72"/>
      <c r="E76" s="236">
        <v>710601</v>
      </c>
      <c r="F76" s="191" t="s">
        <v>86</v>
      </c>
      <c r="G76" s="237">
        <v>1518.23</v>
      </c>
      <c r="H76" s="238">
        <v>0.33333333333333337</v>
      </c>
      <c r="I76" s="238">
        <v>0.33333333333333337</v>
      </c>
      <c r="J76" s="238">
        <v>0.33333333333333337</v>
      </c>
      <c r="K76" s="239">
        <f t="shared" si="58"/>
        <v>1</v>
      </c>
      <c r="L76" s="240">
        <f>+$G$76*H76</f>
        <v>506.07666666666671</v>
      </c>
      <c r="M76" s="240">
        <f t="shared" ref="M76:N76" si="62">+$G$76*I76</f>
        <v>506.07666666666671</v>
      </c>
      <c r="N76" s="240">
        <f t="shared" si="62"/>
        <v>506.07666666666671</v>
      </c>
      <c r="O76" s="241">
        <f t="shared" si="60"/>
        <v>1518.23</v>
      </c>
      <c r="Q76" s="242"/>
    </row>
    <row r="77" spans="1:17" ht="18" customHeight="1" x14ac:dyDescent="0.25">
      <c r="A77" s="72"/>
      <c r="B77" s="72"/>
      <c r="C77" s="72"/>
      <c r="D77" s="72"/>
      <c r="E77" s="236">
        <v>710602</v>
      </c>
      <c r="F77" s="191" t="s">
        <v>128</v>
      </c>
      <c r="G77" s="237">
        <v>1086</v>
      </c>
      <c r="H77" s="238">
        <v>0.33333333333333337</v>
      </c>
      <c r="I77" s="238">
        <v>0.33333333333333337</v>
      </c>
      <c r="J77" s="238">
        <v>0.33333333333333337</v>
      </c>
      <c r="K77" s="239">
        <f t="shared" si="58"/>
        <v>1</v>
      </c>
      <c r="L77" s="240">
        <f>+$G$77*H77</f>
        <v>362.00000000000006</v>
      </c>
      <c r="M77" s="240">
        <f t="shared" ref="M77:N77" si="63">+$G$77*I77</f>
        <v>362.00000000000006</v>
      </c>
      <c r="N77" s="240">
        <f t="shared" si="63"/>
        <v>362.00000000000006</v>
      </c>
      <c r="O77" s="241">
        <f t="shared" si="60"/>
        <v>1086.0000000000002</v>
      </c>
      <c r="Q77" s="242"/>
    </row>
    <row r="78" spans="1:17" ht="18" customHeight="1" x14ac:dyDescent="0.25">
      <c r="A78" s="72"/>
      <c r="B78" s="72"/>
      <c r="C78" s="84" t="s">
        <v>237</v>
      </c>
      <c r="D78" s="72"/>
      <c r="E78" s="243">
        <v>730804</v>
      </c>
      <c r="F78" s="202" t="s">
        <v>188</v>
      </c>
      <c r="G78" s="237">
        <v>150</v>
      </c>
      <c r="H78" s="244">
        <v>1</v>
      </c>
      <c r="I78" s="238"/>
      <c r="J78" s="244"/>
      <c r="K78" s="239">
        <f t="shared" si="58"/>
        <v>1</v>
      </c>
      <c r="L78" s="245">
        <f>+$G$78*H78</f>
        <v>150</v>
      </c>
      <c r="M78" s="245">
        <f t="shared" ref="M78:N78" si="64">+$G$78*I78</f>
        <v>0</v>
      </c>
      <c r="N78" s="245">
        <f t="shared" si="64"/>
        <v>0</v>
      </c>
      <c r="O78" s="241">
        <f t="shared" si="60"/>
        <v>150</v>
      </c>
      <c r="Q78" s="242"/>
    </row>
    <row r="79" spans="1:17" ht="18" customHeight="1" x14ac:dyDescent="0.25">
      <c r="A79" s="72"/>
      <c r="B79" s="72"/>
      <c r="C79" s="84"/>
      <c r="D79" s="72"/>
      <c r="E79" s="246" t="s">
        <v>238</v>
      </c>
      <c r="F79" s="202" t="s">
        <v>74</v>
      </c>
      <c r="G79" s="237">
        <v>100</v>
      </c>
      <c r="H79" s="238">
        <v>0.33333333333333337</v>
      </c>
      <c r="I79" s="238">
        <v>0.33333333333333337</v>
      </c>
      <c r="J79" s="238">
        <v>0.33333333333333337</v>
      </c>
      <c r="K79" s="239">
        <f t="shared" si="58"/>
        <v>1</v>
      </c>
      <c r="L79" s="240">
        <f>+$G$79*H79</f>
        <v>33.333333333333336</v>
      </c>
      <c r="M79" s="240">
        <f t="shared" ref="M79:N79" si="65">+$G$79*I79</f>
        <v>33.333333333333336</v>
      </c>
      <c r="N79" s="240">
        <f t="shared" si="65"/>
        <v>33.333333333333336</v>
      </c>
      <c r="O79" s="241">
        <f t="shared" si="60"/>
        <v>100</v>
      </c>
      <c r="Q79" s="242"/>
    </row>
    <row r="80" spans="1:17" ht="18" customHeight="1" x14ac:dyDescent="0.25">
      <c r="A80" s="72"/>
      <c r="B80" s="72"/>
      <c r="C80" s="84"/>
      <c r="D80" s="72"/>
      <c r="E80" s="243">
        <v>730204</v>
      </c>
      <c r="F80" s="202" t="s">
        <v>239</v>
      </c>
      <c r="G80" s="237">
        <v>200</v>
      </c>
      <c r="H80" s="244">
        <v>0.5</v>
      </c>
      <c r="I80" s="238"/>
      <c r="J80" s="244">
        <v>0.5</v>
      </c>
      <c r="K80" s="239">
        <f t="shared" si="58"/>
        <v>1</v>
      </c>
      <c r="L80" s="240">
        <f>+$G$80*H80</f>
        <v>100</v>
      </c>
      <c r="M80" s="240">
        <f t="shared" ref="M80:N80" si="66">+$G$80*I80</f>
        <v>0</v>
      </c>
      <c r="N80" s="240">
        <f t="shared" si="66"/>
        <v>100</v>
      </c>
      <c r="O80" s="241">
        <f t="shared" si="60"/>
        <v>200</v>
      </c>
      <c r="Q80" s="242"/>
    </row>
    <row r="81" spans="1:17" ht="18" customHeight="1" x14ac:dyDescent="0.25">
      <c r="A81" s="72"/>
      <c r="B81" s="72" t="s">
        <v>240</v>
      </c>
      <c r="C81" s="72" t="s">
        <v>241</v>
      </c>
      <c r="D81" s="72"/>
      <c r="E81" s="246">
        <v>710707</v>
      </c>
      <c r="F81" s="202" t="s">
        <v>52</v>
      </c>
      <c r="G81" s="237">
        <v>500</v>
      </c>
      <c r="H81" s="244">
        <v>1</v>
      </c>
      <c r="I81" s="238"/>
      <c r="J81" s="244"/>
      <c r="K81" s="239">
        <f t="shared" si="58"/>
        <v>1</v>
      </c>
      <c r="L81" s="240">
        <f>+$G$81*H81</f>
        <v>500</v>
      </c>
      <c r="M81" s="240">
        <f t="shared" ref="M81:N81" si="67">+$G$81*I81</f>
        <v>0</v>
      </c>
      <c r="N81" s="240">
        <f t="shared" si="67"/>
        <v>0</v>
      </c>
      <c r="O81" s="241">
        <f t="shared" si="60"/>
        <v>500</v>
      </c>
      <c r="Q81" s="242"/>
    </row>
    <row r="82" spans="1:17" ht="18" customHeight="1" x14ac:dyDescent="0.25">
      <c r="A82" s="72"/>
      <c r="B82" s="72"/>
      <c r="C82" s="72"/>
      <c r="D82" s="72"/>
      <c r="E82" s="246" t="s">
        <v>242</v>
      </c>
      <c r="F82" s="202" t="s">
        <v>243</v>
      </c>
      <c r="G82" s="237">
        <v>500</v>
      </c>
      <c r="H82" s="244"/>
      <c r="I82" s="238"/>
      <c r="J82" s="244">
        <v>1</v>
      </c>
      <c r="K82" s="239">
        <f t="shared" si="58"/>
        <v>1</v>
      </c>
      <c r="L82" s="240">
        <f>+$G$82*H82</f>
        <v>0</v>
      </c>
      <c r="M82" s="240">
        <f t="shared" ref="M82:N82" si="68">+$G$82*I82</f>
        <v>0</v>
      </c>
      <c r="N82" s="240">
        <f t="shared" si="68"/>
        <v>500</v>
      </c>
      <c r="O82" s="241">
        <f t="shared" si="60"/>
        <v>500</v>
      </c>
      <c r="Q82" s="242"/>
    </row>
    <row r="83" spans="1:17" ht="18" customHeight="1" x14ac:dyDescent="0.25">
      <c r="A83" s="72"/>
      <c r="B83" s="72"/>
      <c r="C83" s="72"/>
      <c r="D83" s="72"/>
      <c r="E83" s="246" t="s">
        <v>244</v>
      </c>
      <c r="F83" s="202" t="s">
        <v>245</v>
      </c>
      <c r="G83" s="237">
        <v>900</v>
      </c>
      <c r="H83" s="244">
        <v>0.5</v>
      </c>
      <c r="I83" s="238"/>
      <c r="J83" s="244">
        <v>0.5</v>
      </c>
      <c r="K83" s="239">
        <f t="shared" si="58"/>
        <v>1</v>
      </c>
      <c r="L83" s="240">
        <f>+$G$83*H83</f>
        <v>450</v>
      </c>
      <c r="M83" s="240">
        <f t="shared" ref="M83:N83" si="69">+$G$83*I83</f>
        <v>0</v>
      </c>
      <c r="N83" s="240">
        <f t="shared" si="69"/>
        <v>450</v>
      </c>
      <c r="O83" s="241">
        <f t="shared" si="60"/>
        <v>900</v>
      </c>
      <c r="Q83" s="242"/>
    </row>
    <row r="84" spans="1:17" ht="18" customHeight="1" x14ac:dyDescent="0.25">
      <c r="A84" s="72"/>
      <c r="B84" s="72"/>
      <c r="C84" s="72"/>
      <c r="D84" s="72"/>
      <c r="E84" s="243">
        <v>730811</v>
      </c>
      <c r="F84" s="202" t="s">
        <v>246</v>
      </c>
      <c r="G84" s="237">
        <v>2000</v>
      </c>
      <c r="H84" s="244"/>
      <c r="I84" s="238">
        <v>0.5</v>
      </c>
      <c r="J84" s="244">
        <v>0.5</v>
      </c>
      <c r="K84" s="239">
        <f t="shared" si="58"/>
        <v>1</v>
      </c>
      <c r="L84" s="240">
        <f>+$G$84*H84</f>
        <v>0</v>
      </c>
      <c r="M84" s="240">
        <f t="shared" ref="M84:N84" si="70">+$G$84*I84</f>
        <v>1000</v>
      </c>
      <c r="N84" s="240">
        <f t="shared" si="70"/>
        <v>1000</v>
      </c>
      <c r="O84" s="241">
        <f t="shared" si="60"/>
        <v>2000</v>
      </c>
      <c r="Q84" s="242"/>
    </row>
    <row r="85" spans="1:17" ht="31.5" customHeight="1" x14ac:dyDescent="0.25">
      <c r="A85" s="72"/>
      <c r="B85" s="72"/>
      <c r="C85" s="72"/>
      <c r="D85" s="72"/>
      <c r="E85" s="246" t="s">
        <v>247</v>
      </c>
      <c r="F85" s="199" t="s">
        <v>248</v>
      </c>
      <c r="G85" s="237">
        <v>1000</v>
      </c>
      <c r="H85" s="244"/>
      <c r="I85" s="238">
        <v>0.5</v>
      </c>
      <c r="J85" s="244">
        <v>0.5</v>
      </c>
      <c r="K85" s="239">
        <f t="shared" si="58"/>
        <v>1</v>
      </c>
      <c r="L85" s="240">
        <f>+$G$85*H85</f>
        <v>0</v>
      </c>
      <c r="M85" s="240">
        <f t="shared" ref="M85:N85" si="71">+$G$85*I85</f>
        <v>500</v>
      </c>
      <c r="N85" s="240">
        <f t="shared" si="71"/>
        <v>500</v>
      </c>
      <c r="O85" s="241">
        <f t="shared" si="60"/>
        <v>1000</v>
      </c>
      <c r="Q85" s="242"/>
    </row>
    <row r="86" spans="1:17" ht="18" customHeight="1" x14ac:dyDescent="0.25">
      <c r="A86" s="72"/>
      <c r="B86" s="72"/>
      <c r="C86" s="72"/>
      <c r="D86" s="72"/>
      <c r="E86" s="246" t="s">
        <v>249</v>
      </c>
      <c r="F86" s="202" t="s">
        <v>250</v>
      </c>
      <c r="G86" s="237">
        <v>1000</v>
      </c>
      <c r="H86" s="244"/>
      <c r="I86" s="238"/>
      <c r="J86" s="244">
        <v>1</v>
      </c>
      <c r="K86" s="239">
        <f t="shared" si="58"/>
        <v>1</v>
      </c>
      <c r="L86" s="240">
        <f>+$G$86*H86</f>
        <v>0</v>
      </c>
      <c r="M86" s="240">
        <f t="shared" ref="M86:N86" si="72">+$G$86*I86</f>
        <v>0</v>
      </c>
      <c r="N86" s="240">
        <f t="shared" si="72"/>
        <v>1000</v>
      </c>
      <c r="O86" s="241">
        <f t="shared" si="60"/>
        <v>1000</v>
      </c>
      <c r="Q86" s="242"/>
    </row>
    <row r="87" spans="1:17" ht="18" customHeight="1" x14ac:dyDescent="0.25">
      <c r="A87" s="72"/>
      <c r="B87" s="72"/>
      <c r="C87" s="72"/>
      <c r="D87" s="72"/>
      <c r="E87" s="236">
        <v>731406</v>
      </c>
      <c r="F87" s="202" t="s">
        <v>251</v>
      </c>
      <c r="G87" s="237">
        <v>300</v>
      </c>
      <c r="H87" s="244">
        <v>0.5</v>
      </c>
      <c r="I87" s="238"/>
      <c r="J87" s="244">
        <v>0.5</v>
      </c>
      <c r="K87" s="239">
        <f t="shared" si="58"/>
        <v>1</v>
      </c>
      <c r="L87" s="240">
        <f>+$G$87*H87</f>
        <v>150</v>
      </c>
      <c r="M87" s="240">
        <f t="shared" ref="M87:N87" si="73">+$G$87*I87</f>
        <v>0</v>
      </c>
      <c r="N87" s="240">
        <f t="shared" si="73"/>
        <v>150</v>
      </c>
      <c r="O87" s="241">
        <f t="shared" si="60"/>
        <v>300</v>
      </c>
      <c r="Q87" s="242"/>
    </row>
    <row r="88" spans="1:17" ht="18" customHeight="1" x14ac:dyDescent="0.25">
      <c r="A88" s="72"/>
      <c r="B88" s="72"/>
      <c r="C88" s="72"/>
      <c r="D88" s="72"/>
      <c r="E88" s="236">
        <v>730504</v>
      </c>
      <c r="F88" s="202" t="s">
        <v>252</v>
      </c>
      <c r="G88" s="237">
        <v>1000</v>
      </c>
      <c r="H88" s="244"/>
      <c r="I88" s="238"/>
      <c r="J88" s="244">
        <v>1</v>
      </c>
      <c r="K88" s="239">
        <f t="shared" si="58"/>
        <v>1</v>
      </c>
      <c r="L88" s="240">
        <f>+$G$88*H88</f>
        <v>0</v>
      </c>
      <c r="M88" s="240">
        <f t="shared" ref="M88:N88" si="74">+$G$88*I88</f>
        <v>0</v>
      </c>
      <c r="N88" s="240">
        <f t="shared" si="74"/>
        <v>1000</v>
      </c>
      <c r="O88" s="241">
        <f t="shared" si="60"/>
        <v>1000</v>
      </c>
      <c r="Q88" s="242"/>
    </row>
    <row r="89" spans="1:17" ht="18" customHeight="1" x14ac:dyDescent="0.25">
      <c r="A89" s="72"/>
      <c r="B89" s="72"/>
      <c r="C89" s="72"/>
      <c r="D89" s="72"/>
      <c r="E89" s="246" t="s">
        <v>253</v>
      </c>
      <c r="F89" s="202" t="s">
        <v>254</v>
      </c>
      <c r="G89" s="237">
        <v>50000</v>
      </c>
      <c r="H89" s="238">
        <v>0.33333333333333337</v>
      </c>
      <c r="I89" s="238">
        <v>0.33333333333333337</v>
      </c>
      <c r="J89" s="238">
        <v>0.33333333333333337</v>
      </c>
      <c r="K89" s="239">
        <f t="shared" si="58"/>
        <v>1</v>
      </c>
      <c r="L89" s="240">
        <f>+$G$89*H89</f>
        <v>16666.666666666668</v>
      </c>
      <c r="M89" s="240">
        <f t="shared" ref="M89:N89" si="75">+$G$89*I89</f>
        <v>16666.666666666668</v>
      </c>
      <c r="N89" s="240">
        <f t="shared" si="75"/>
        <v>16666.666666666668</v>
      </c>
      <c r="O89" s="241">
        <f t="shared" si="60"/>
        <v>50000</v>
      </c>
      <c r="Q89" s="242"/>
    </row>
    <row r="90" spans="1:17" ht="18" customHeight="1" x14ac:dyDescent="0.25">
      <c r="G90" s="247">
        <f>SUM(G73:G89)</f>
        <v>74797.23</v>
      </c>
    </row>
  </sheetData>
  <mergeCells count="76">
    <mergeCell ref="L71:O71"/>
    <mergeCell ref="A73:A89"/>
    <mergeCell ref="B73:B80"/>
    <mergeCell ref="C73:C77"/>
    <mergeCell ref="D73:D89"/>
    <mergeCell ref="C78:C80"/>
    <mergeCell ref="B81:B89"/>
    <mergeCell ref="C81:C89"/>
    <mergeCell ref="A70:G70"/>
    <mergeCell ref="H70:O70"/>
    <mergeCell ref="A71:A72"/>
    <mergeCell ref="B71:B72"/>
    <mergeCell ref="C71:C72"/>
    <mergeCell ref="D71:D72"/>
    <mergeCell ref="E71:E72"/>
    <mergeCell ref="F71:F72"/>
    <mergeCell ref="G71:G72"/>
    <mergeCell ref="H71:K71"/>
    <mergeCell ref="D65:F65"/>
    <mergeCell ref="H65:O65"/>
    <mergeCell ref="A66:B67"/>
    <mergeCell ref="D66:O66"/>
    <mergeCell ref="D67:O67"/>
    <mergeCell ref="A68:B69"/>
    <mergeCell ref="D68:O68"/>
    <mergeCell ref="D69:O69"/>
    <mergeCell ref="B53:B61"/>
    <mergeCell ref="C53:C57"/>
    <mergeCell ref="D53:D61"/>
    <mergeCell ref="C58:C61"/>
    <mergeCell ref="B62:F62"/>
    <mergeCell ref="H62:K62"/>
    <mergeCell ref="A36:A37"/>
    <mergeCell ref="B36:B37"/>
    <mergeCell ref="C36:C37"/>
    <mergeCell ref="D36:D37"/>
    <mergeCell ref="A38:A61"/>
    <mergeCell ref="B38:B52"/>
    <mergeCell ref="C38:C47"/>
    <mergeCell ref="D38:D47"/>
    <mergeCell ref="C48:C52"/>
    <mergeCell ref="D48:D52"/>
    <mergeCell ref="A18:A35"/>
    <mergeCell ref="B18:B30"/>
    <mergeCell ref="C18:C23"/>
    <mergeCell ref="D18:D23"/>
    <mergeCell ref="C24:C26"/>
    <mergeCell ref="D24:D30"/>
    <mergeCell ref="C27:C30"/>
    <mergeCell ref="B31:B35"/>
    <mergeCell ref="D31:D35"/>
    <mergeCell ref="C32:C34"/>
    <mergeCell ref="L7:O7"/>
    <mergeCell ref="A9:A17"/>
    <mergeCell ref="B9:B17"/>
    <mergeCell ref="C9:C15"/>
    <mergeCell ref="D9:D17"/>
    <mergeCell ref="C16:C17"/>
    <mergeCell ref="A6:G6"/>
    <mergeCell ref="H6:O6"/>
    <mergeCell ref="A7:A8"/>
    <mergeCell ref="B7:B8"/>
    <mergeCell ref="C7:C8"/>
    <mergeCell ref="D7:D8"/>
    <mergeCell ref="E7:E8"/>
    <mergeCell ref="F7:F8"/>
    <mergeCell ref="G7:G8"/>
    <mergeCell ref="H7:K7"/>
    <mergeCell ref="D1:F1"/>
    <mergeCell ref="H1:O1"/>
    <mergeCell ref="A2:B3"/>
    <mergeCell ref="D2:O2"/>
    <mergeCell ref="D3:O3"/>
    <mergeCell ref="A4:B5"/>
    <mergeCell ref="D4:O4"/>
    <mergeCell ref="D5:O5"/>
  </mergeCells>
  <pageMargins left="0.118110236220472" right="0.118110236220472" top="0.74803149606299202" bottom="0.3" header="0.31496062992126" footer="0.31496062992126"/>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95C4-96CA-4422-AC78-877BDDD2A667}">
  <sheetPr>
    <pageSetUpPr fitToPage="1"/>
  </sheetPr>
  <dimension ref="A1:Q142"/>
  <sheetViews>
    <sheetView topLeftCell="B91" zoomScale="85" zoomScaleNormal="85" workbookViewId="0">
      <selection activeCell="G109" sqref="G109"/>
    </sheetView>
  </sheetViews>
  <sheetFormatPr baseColWidth="10" defaultColWidth="11.42578125" defaultRowHeight="15" x14ac:dyDescent="0.25"/>
  <cols>
    <col min="1" max="1" width="14.28515625" customWidth="1"/>
    <col min="2" max="2" width="32.85546875" customWidth="1"/>
    <col min="3" max="3" width="41.85546875" customWidth="1"/>
    <col min="4" max="4" width="30.7109375" style="172" customWidth="1"/>
    <col min="5" max="5" width="16.85546875" style="179" customWidth="1"/>
    <col min="6" max="6" width="44.42578125" customWidth="1"/>
    <col min="7" max="9" width="18.5703125" customWidth="1"/>
    <col min="10" max="12" width="5.140625" customWidth="1"/>
    <col min="13" max="13" width="6.42578125" customWidth="1"/>
    <col min="14" max="14" width="15.28515625" customWidth="1"/>
    <col min="15" max="15" width="10.85546875" customWidth="1"/>
    <col min="16" max="16" width="9.85546875" customWidth="1"/>
    <col min="17" max="17" width="13" customWidth="1"/>
  </cols>
  <sheetData>
    <row r="1" spans="1:17" ht="53.25" customHeight="1" x14ac:dyDescent="0.25">
      <c r="B1" s="16"/>
      <c r="C1" s="16" t="s">
        <v>0</v>
      </c>
      <c r="D1" s="91" t="s">
        <v>90</v>
      </c>
      <c r="E1" s="91"/>
      <c r="F1" s="91"/>
      <c r="G1" s="16" t="s">
        <v>1</v>
      </c>
      <c r="H1" s="16"/>
      <c r="I1" s="16"/>
      <c r="J1" s="75"/>
      <c r="K1" s="75"/>
      <c r="L1" s="75"/>
      <c r="M1" s="75"/>
      <c r="N1" s="75"/>
      <c r="O1" s="75"/>
      <c r="P1" s="75"/>
      <c r="Q1" s="75"/>
    </row>
    <row r="2" spans="1:17" ht="30" customHeight="1" x14ac:dyDescent="0.25">
      <c r="A2" s="92" t="s">
        <v>91</v>
      </c>
      <c r="B2" s="92"/>
      <c r="C2" s="17" t="s">
        <v>6</v>
      </c>
      <c r="D2" s="85"/>
      <c r="E2" s="85"/>
      <c r="F2" s="85"/>
      <c r="G2" s="85"/>
      <c r="H2" s="85"/>
      <c r="I2" s="85"/>
      <c r="J2" s="85"/>
      <c r="K2" s="85"/>
      <c r="L2" s="85"/>
      <c r="M2" s="85"/>
      <c r="N2" s="85"/>
      <c r="O2" s="85"/>
      <c r="P2" s="85"/>
      <c r="Q2" s="85"/>
    </row>
    <row r="3" spans="1:17" ht="30" customHeight="1" x14ac:dyDescent="0.25">
      <c r="A3" s="92"/>
      <c r="B3" s="92"/>
      <c r="C3" s="17" t="s">
        <v>7</v>
      </c>
      <c r="D3" s="85"/>
      <c r="E3" s="85"/>
      <c r="F3" s="85"/>
      <c r="G3" s="85"/>
      <c r="H3" s="85"/>
      <c r="I3" s="85"/>
      <c r="J3" s="85"/>
      <c r="K3" s="85"/>
      <c r="L3" s="85"/>
      <c r="M3" s="85"/>
      <c r="N3" s="85"/>
      <c r="O3" s="85"/>
      <c r="P3" s="85"/>
      <c r="Q3" s="85"/>
    </row>
    <row r="4" spans="1:17" ht="32.25" customHeight="1" x14ac:dyDescent="0.25">
      <c r="A4" s="83" t="s">
        <v>92</v>
      </c>
      <c r="B4" s="83"/>
      <c r="C4" s="18" t="s">
        <v>8</v>
      </c>
      <c r="D4" s="84" t="s">
        <v>93</v>
      </c>
      <c r="E4" s="84"/>
      <c r="F4" s="84"/>
      <c r="G4" s="84"/>
      <c r="H4" s="84"/>
      <c r="I4" s="84"/>
      <c r="J4" s="84"/>
      <c r="K4" s="84"/>
      <c r="L4" s="84"/>
      <c r="M4" s="84"/>
      <c r="N4" s="84"/>
      <c r="O4" s="84"/>
      <c r="P4" s="84"/>
      <c r="Q4" s="84"/>
    </row>
    <row r="5" spans="1:17" ht="30" customHeight="1" x14ac:dyDescent="0.25">
      <c r="A5" s="83"/>
      <c r="B5" s="83"/>
      <c r="C5" s="18" t="s">
        <v>9</v>
      </c>
      <c r="D5" s="85"/>
      <c r="E5" s="85"/>
      <c r="F5" s="85"/>
      <c r="G5" s="85"/>
      <c r="H5" s="85"/>
      <c r="I5" s="85"/>
      <c r="J5" s="85"/>
      <c r="K5" s="85"/>
      <c r="L5" s="85"/>
      <c r="M5" s="85"/>
      <c r="N5" s="85"/>
      <c r="O5" s="85"/>
      <c r="P5" s="85"/>
      <c r="Q5" s="85"/>
    </row>
    <row r="6" spans="1:17" ht="15" customHeight="1" x14ac:dyDescent="0.25">
      <c r="A6" s="86" t="s">
        <v>2</v>
      </c>
      <c r="B6" s="87"/>
      <c r="C6" s="87"/>
      <c r="D6" s="87"/>
      <c r="E6" s="87"/>
      <c r="F6" s="87"/>
      <c r="G6" s="88"/>
      <c r="H6" s="57"/>
      <c r="I6" s="57"/>
      <c r="J6" s="89" t="s">
        <v>3</v>
      </c>
      <c r="K6" s="90"/>
      <c r="L6" s="90"/>
      <c r="M6" s="90"/>
      <c r="N6" s="90"/>
      <c r="O6" s="90"/>
      <c r="P6" s="90"/>
      <c r="Q6" s="79"/>
    </row>
    <row r="7" spans="1:17" ht="30" customHeight="1" x14ac:dyDescent="0.25">
      <c r="A7" s="19"/>
      <c r="B7" s="19"/>
      <c r="C7" s="19"/>
      <c r="D7" s="19"/>
      <c r="E7" s="20"/>
      <c r="F7" s="19"/>
      <c r="G7" s="19"/>
      <c r="H7" s="65"/>
      <c r="I7" s="65"/>
      <c r="J7" s="79" t="s">
        <v>4</v>
      </c>
      <c r="K7" s="80"/>
      <c r="L7" s="80"/>
      <c r="M7" s="80"/>
      <c r="N7" s="80" t="s">
        <v>5</v>
      </c>
      <c r="O7" s="80"/>
      <c r="P7" s="80"/>
      <c r="Q7" s="80"/>
    </row>
    <row r="8" spans="1:17" ht="26.25" customHeight="1" x14ac:dyDescent="0.25">
      <c r="A8" s="21" t="s">
        <v>10</v>
      </c>
      <c r="B8" s="21" t="s">
        <v>11</v>
      </c>
      <c r="C8" s="21" t="s">
        <v>12</v>
      </c>
      <c r="D8" s="22" t="s">
        <v>94</v>
      </c>
      <c r="E8" s="23" t="s">
        <v>13</v>
      </c>
      <c r="F8" s="21" t="s">
        <v>14</v>
      </c>
      <c r="G8" s="24" t="s">
        <v>95</v>
      </c>
      <c r="H8" s="24"/>
      <c r="I8" s="24"/>
      <c r="J8" s="25" t="s">
        <v>15</v>
      </c>
      <c r="K8" s="25" t="s">
        <v>16</v>
      </c>
      <c r="L8" s="25" t="s">
        <v>17</v>
      </c>
      <c r="M8" s="25" t="s">
        <v>18</v>
      </c>
      <c r="N8" s="25" t="s">
        <v>15</v>
      </c>
      <c r="O8" s="25" t="s">
        <v>16</v>
      </c>
      <c r="P8" s="25" t="s">
        <v>17</v>
      </c>
      <c r="Q8" s="26" t="s">
        <v>18</v>
      </c>
    </row>
    <row r="9" spans="1:17" ht="18" customHeight="1" x14ac:dyDescent="0.25">
      <c r="A9" s="146" t="s">
        <v>255</v>
      </c>
      <c r="B9" s="248" t="s">
        <v>256</v>
      </c>
      <c r="C9" s="249" t="s">
        <v>161</v>
      </c>
      <c r="D9" s="75"/>
      <c r="E9" s="148" t="s">
        <v>257</v>
      </c>
      <c r="F9" s="31" t="s">
        <v>125</v>
      </c>
      <c r="G9" s="149">
        <v>13032</v>
      </c>
      <c r="H9" s="149">
        <v>14544</v>
      </c>
      <c r="I9" s="250">
        <f>+G9+H9</f>
        <v>27576</v>
      </c>
      <c r="J9" s="152"/>
      <c r="K9" s="152"/>
      <c r="L9" s="152"/>
      <c r="M9" s="152"/>
      <c r="N9" s="152"/>
      <c r="O9" s="152"/>
      <c r="P9" s="1"/>
      <c r="Q9" s="1"/>
    </row>
    <row r="10" spans="1:17" ht="18" customHeight="1" x14ac:dyDescent="0.25">
      <c r="A10" s="146"/>
      <c r="B10" s="251"/>
      <c r="C10" s="252"/>
      <c r="D10" s="75"/>
      <c r="E10" s="148" t="s">
        <v>258</v>
      </c>
      <c r="F10" s="31" t="s">
        <v>162</v>
      </c>
      <c r="G10" s="149">
        <v>3936.25</v>
      </c>
      <c r="H10" s="149"/>
      <c r="I10" s="250">
        <f>+G10+H10</f>
        <v>3936.25</v>
      </c>
      <c r="J10" s="152"/>
      <c r="K10" s="152"/>
      <c r="L10" s="152"/>
      <c r="M10" s="152"/>
      <c r="N10" s="152"/>
      <c r="O10" s="152"/>
      <c r="P10" s="1"/>
      <c r="Q10" s="1"/>
    </row>
    <row r="11" spans="1:17" ht="18" customHeight="1" x14ac:dyDescent="0.25">
      <c r="A11" s="146"/>
      <c r="B11" s="251"/>
      <c r="C11" s="252"/>
      <c r="D11" s="75"/>
      <c r="E11" s="148" t="s">
        <v>259</v>
      </c>
      <c r="F11" s="31" t="s">
        <v>163</v>
      </c>
      <c r="G11" s="149">
        <f>425+1275</f>
        <v>1700</v>
      </c>
      <c r="H11" s="149"/>
      <c r="I11" s="250">
        <f>+G11+H11</f>
        <v>1700</v>
      </c>
      <c r="J11" s="152"/>
      <c r="K11" s="152"/>
      <c r="L11" s="152"/>
      <c r="M11" s="152"/>
      <c r="N11" s="152"/>
      <c r="O11" s="152"/>
      <c r="P11" s="1"/>
      <c r="Q11" s="1"/>
    </row>
    <row r="12" spans="1:17" ht="18" customHeight="1" x14ac:dyDescent="0.25">
      <c r="A12" s="146"/>
      <c r="B12" s="251"/>
      <c r="C12" s="252"/>
      <c r="D12" s="75"/>
      <c r="E12" s="148" t="s">
        <v>260</v>
      </c>
      <c r="F12" s="31" t="s">
        <v>128</v>
      </c>
      <c r="G12" s="149">
        <f>1086+2850.25</f>
        <v>3936.25</v>
      </c>
      <c r="H12" s="149"/>
      <c r="I12" s="250">
        <f t="shared" ref="I12:I24" si="0">+G12+H12</f>
        <v>3936.25</v>
      </c>
      <c r="J12" s="152"/>
      <c r="K12" s="152"/>
      <c r="L12" s="152"/>
      <c r="M12" s="152"/>
      <c r="N12" s="152"/>
      <c r="O12" s="152"/>
      <c r="P12" s="1"/>
      <c r="Q12" s="1"/>
    </row>
    <row r="13" spans="1:17" ht="18" customHeight="1" x14ac:dyDescent="0.25">
      <c r="A13" s="146"/>
      <c r="B13" s="251"/>
      <c r="C13" s="252"/>
      <c r="D13" s="75"/>
      <c r="E13" s="148" t="s">
        <v>261</v>
      </c>
      <c r="F13" s="31" t="s">
        <v>86</v>
      </c>
      <c r="G13" s="149">
        <f>1518.228+3984.65</f>
        <v>5502.8780000000006</v>
      </c>
      <c r="H13" s="149"/>
      <c r="I13" s="250">
        <f t="shared" si="0"/>
        <v>5502.8780000000006</v>
      </c>
      <c r="J13" s="152"/>
      <c r="K13" s="152"/>
      <c r="L13" s="152"/>
      <c r="M13" s="152"/>
      <c r="N13" s="152"/>
      <c r="O13" s="152"/>
      <c r="P13" s="1"/>
      <c r="Q13" s="1"/>
    </row>
    <row r="14" spans="1:17" ht="18" customHeight="1" x14ac:dyDescent="0.25">
      <c r="A14" s="146"/>
      <c r="B14" s="251"/>
      <c r="C14" s="252"/>
      <c r="D14" s="75"/>
      <c r="E14" s="148" t="s">
        <v>262</v>
      </c>
      <c r="F14" s="31" t="s">
        <v>20</v>
      </c>
      <c r="G14" s="149">
        <v>34203</v>
      </c>
      <c r="H14" s="149">
        <v>-14544</v>
      </c>
      <c r="I14" s="250">
        <f t="shared" si="0"/>
        <v>19659</v>
      </c>
      <c r="J14" s="152"/>
      <c r="K14" s="152"/>
      <c r="L14" s="152"/>
      <c r="M14" s="152"/>
      <c r="N14" s="152"/>
      <c r="O14" s="152"/>
      <c r="P14" s="1"/>
      <c r="Q14" s="1"/>
    </row>
    <row r="15" spans="1:17" ht="18" customHeight="1" x14ac:dyDescent="0.25">
      <c r="A15" s="146"/>
      <c r="B15" s="251"/>
      <c r="C15" s="253"/>
      <c r="D15" s="75"/>
      <c r="E15" s="148" t="s">
        <v>263</v>
      </c>
      <c r="F15" s="31" t="s">
        <v>52</v>
      </c>
      <c r="G15" s="149">
        <v>1000</v>
      </c>
      <c r="H15" s="149"/>
      <c r="I15" s="250">
        <f t="shared" si="0"/>
        <v>1000</v>
      </c>
      <c r="J15" s="152"/>
      <c r="K15" s="152"/>
      <c r="L15" s="152"/>
      <c r="M15" s="152"/>
      <c r="N15" s="152"/>
      <c r="O15" s="152"/>
      <c r="P15" s="1"/>
      <c r="Q15" s="1"/>
    </row>
    <row r="16" spans="1:17" ht="18" customHeight="1" x14ac:dyDescent="0.25">
      <c r="A16" s="146"/>
      <c r="B16" s="251"/>
      <c r="C16" s="254" t="s">
        <v>264</v>
      </c>
      <c r="D16" s="75"/>
      <c r="E16" s="148" t="s">
        <v>265</v>
      </c>
      <c r="F16" s="255" t="s">
        <v>266</v>
      </c>
      <c r="G16" s="149">
        <v>2500</v>
      </c>
      <c r="H16" s="149">
        <v>-2500</v>
      </c>
      <c r="I16" s="250">
        <f t="shared" si="0"/>
        <v>0</v>
      </c>
      <c r="J16" s="152"/>
      <c r="K16" s="152"/>
      <c r="L16" s="152"/>
      <c r="M16" s="152"/>
      <c r="N16" s="152"/>
      <c r="O16" s="152"/>
      <c r="P16" s="1"/>
      <c r="Q16" s="1"/>
    </row>
    <row r="17" spans="1:17" ht="40.5" customHeight="1" x14ac:dyDescent="0.25">
      <c r="A17" s="146"/>
      <c r="B17" s="251"/>
      <c r="C17" s="254"/>
      <c r="D17" s="75"/>
      <c r="E17" s="148">
        <v>220.73080100000001</v>
      </c>
      <c r="F17" s="256" t="s">
        <v>267</v>
      </c>
      <c r="G17" s="149">
        <v>10000</v>
      </c>
      <c r="H17" s="149"/>
      <c r="I17" s="250">
        <f t="shared" si="0"/>
        <v>10000</v>
      </c>
      <c r="J17" s="152"/>
      <c r="K17" s="152"/>
      <c r="L17" s="152"/>
      <c r="M17" s="152"/>
      <c r="N17" s="157"/>
      <c r="O17" s="152"/>
      <c r="P17" s="1"/>
      <c r="Q17" s="1"/>
    </row>
    <row r="18" spans="1:17" ht="18" customHeight="1" x14ac:dyDescent="0.25">
      <c r="A18" s="146"/>
      <c r="B18" s="251"/>
      <c r="C18" s="254"/>
      <c r="D18" s="75"/>
      <c r="E18" s="148">
        <v>220.73020500000001</v>
      </c>
      <c r="F18" s="31" t="s">
        <v>268</v>
      </c>
      <c r="G18" s="149">
        <v>2000</v>
      </c>
      <c r="H18" s="149"/>
      <c r="I18" s="250">
        <f t="shared" si="0"/>
        <v>2000</v>
      </c>
      <c r="J18" s="152"/>
      <c r="K18" s="152"/>
      <c r="L18" s="152"/>
      <c r="M18" s="152"/>
      <c r="N18" s="152"/>
      <c r="O18" s="152"/>
      <c r="P18" s="1"/>
      <c r="Q18" s="1"/>
    </row>
    <row r="19" spans="1:17" ht="18" customHeight="1" x14ac:dyDescent="0.25">
      <c r="A19" s="146"/>
      <c r="B19" s="251"/>
      <c r="C19" s="254"/>
      <c r="D19" s="75"/>
      <c r="E19" s="148">
        <v>220.73080100000001</v>
      </c>
      <c r="F19" s="31" t="s">
        <v>269</v>
      </c>
      <c r="G19" s="149">
        <v>100</v>
      </c>
      <c r="H19" s="149"/>
      <c r="I19" s="250">
        <f t="shared" si="0"/>
        <v>100</v>
      </c>
      <c r="J19" s="152"/>
      <c r="K19" s="152"/>
      <c r="L19" s="152"/>
      <c r="M19" s="152"/>
      <c r="N19" s="152"/>
      <c r="O19" s="152"/>
      <c r="P19" s="1"/>
      <c r="Q19" s="1"/>
    </row>
    <row r="20" spans="1:17" ht="18" customHeight="1" x14ac:dyDescent="0.25">
      <c r="A20" s="146"/>
      <c r="B20" s="251"/>
      <c r="C20" s="254"/>
      <c r="D20" s="75"/>
      <c r="E20" s="148">
        <v>220.73023499999999</v>
      </c>
      <c r="F20" s="31" t="s">
        <v>270</v>
      </c>
      <c r="G20" s="149">
        <v>1500</v>
      </c>
      <c r="H20" s="149"/>
      <c r="I20" s="250">
        <f t="shared" si="0"/>
        <v>1500</v>
      </c>
      <c r="J20" s="152"/>
      <c r="K20" s="152"/>
      <c r="L20" s="152"/>
      <c r="M20" s="152"/>
      <c r="N20" s="152"/>
      <c r="O20" s="152"/>
      <c r="P20" s="1"/>
      <c r="Q20" s="1"/>
    </row>
    <row r="21" spans="1:17" ht="18" customHeight="1" x14ac:dyDescent="0.25">
      <c r="A21" s="146"/>
      <c r="B21" s="251"/>
      <c r="C21" s="254"/>
      <c r="D21" s="75"/>
      <c r="E21" s="148">
        <v>220.73080400000001</v>
      </c>
      <c r="F21" s="31" t="s">
        <v>25</v>
      </c>
      <c r="G21" s="149">
        <v>1500</v>
      </c>
      <c r="H21" s="149">
        <v>-1500</v>
      </c>
      <c r="I21" s="250">
        <f t="shared" si="0"/>
        <v>0</v>
      </c>
      <c r="J21" s="152"/>
      <c r="K21" s="152"/>
      <c r="L21" s="152"/>
      <c r="M21" s="152"/>
      <c r="N21" s="152"/>
      <c r="O21" s="152"/>
      <c r="P21" s="1"/>
      <c r="Q21" s="1"/>
    </row>
    <row r="22" spans="1:17" ht="18" customHeight="1" x14ac:dyDescent="0.25">
      <c r="A22" s="146"/>
      <c r="B22" s="251"/>
      <c r="C22" s="254"/>
      <c r="D22" s="75"/>
      <c r="E22" s="148">
        <v>220.84010699999999</v>
      </c>
      <c r="F22" s="1" t="s">
        <v>137</v>
      </c>
      <c r="G22" s="149">
        <v>1000</v>
      </c>
      <c r="H22" s="149">
        <v>-1000</v>
      </c>
      <c r="I22" s="250">
        <f t="shared" si="0"/>
        <v>0</v>
      </c>
      <c r="J22" s="152"/>
      <c r="K22" s="152"/>
      <c r="L22" s="152"/>
      <c r="M22" s="152"/>
      <c r="N22" s="152"/>
      <c r="O22" s="152"/>
      <c r="P22" s="1"/>
      <c r="Q22" s="1"/>
    </row>
    <row r="23" spans="1:17" ht="18" customHeight="1" x14ac:dyDescent="0.25">
      <c r="A23" s="146"/>
      <c r="B23" s="251"/>
      <c r="C23" s="254"/>
      <c r="D23" s="75"/>
      <c r="E23" s="154">
        <v>220.73081199999999</v>
      </c>
      <c r="F23" s="30" t="s">
        <v>271</v>
      </c>
      <c r="G23" s="149">
        <v>500</v>
      </c>
      <c r="H23" s="149"/>
      <c r="I23" s="250">
        <f t="shared" si="0"/>
        <v>500</v>
      </c>
      <c r="J23" s="152"/>
      <c r="K23" s="152"/>
      <c r="L23" s="152"/>
      <c r="M23" s="152"/>
      <c r="N23" s="152"/>
      <c r="O23" s="152"/>
      <c r="P23" s="1"/>
      <c r="Q23" s="1"/>
    </row>
    <row r="24" spans="1:17" ht="18" customHeight="1" x14ac:dyDescent="0.25">
      <c r="A24" s="146"/>
      <c r="B24" s="257"/>
      <c r="C24" s="254"/>
      <c r="D24" s="75"/>
      <c r="E24" s="148">
        <v>220.730805</v>
      </c>
      <c r="F24" s="31" t="s">
        <v>41</v>
      </c>
      <c r="G24" s="149">
        <v>2000</v>
      </c>
      <c r="H24" s="149"/>
      <c r="I24" s="250">
        <f t="shared" si="0"/>
        <v>2000</v>
      </c>
      <c r="J24" s="152"/>
      <c r="K24" s="152"/>
      <c r="L24" s="152"/>
      <c r="M24" s="152"/>
      <c r="N24" s="152"/>
      <c r="O24" s="152"/>
      <c r="P24" s="1"/>
      <c r="Q24" s="1"/>
    </row>
    <row r="25" spans="1:17" ht="18" customHeight="1" x14ac:dyDescent="0.3">
      <c r="A25" s="146"/>
      <c r="B25" s="258"/>
      <c r="C25" s="259"/>
      <c r="D25"/>
      <c r="E25" s="260"/>
      <c r="F25" s="152"/>
      <c r="G25" s="161">
        <f>SUM(G9:G24)</f>
        <v>84410.377999999997</v>
      </c>
      <c r="H25" s="161">
        <f t="shared" ref="H25:I25" si="1">SUM(H9:H24)</f>
        <v>-5000</v>
      </c>
      <c r="I25" s="161">
        <f t="shared" si="1"/>
        <v>79410.377999999997</v>
      </c>
      <c r="J25" s="162"/>
      <c r="K25" s="163"/>
      <c r="L25" s="163"/>
      <c r="M25" s="163"/>
      <c r="N25" s="163"/>
      <c r="O25" s="163"/>
      <c r="P25" s="164"/>
      <c r="Q25" s="161">
        <f>SUM(Q9:Q24)</f>
        <v>0</v>
      </c>
    </row>
    <row r="26" spans="1:17" ht="18" customHeight="1" x14ac:dyDescent="0.25">
      <c r="A26" s="146"/>
      <c r="B26" s="261" t="s">
        <v>272</v>
      </c>
      <c r="C26" s="262" t="s">
        <v>89</v>
      </c>
      <c r="D26" s="75"/>
      <c r="E26" s="148" t="s">
        <v>273</v>
      </c>
      <c r="F26" s="1" t="s">
        <v>274</v>
      </c>
      <c r="G26" s="149">
        <v>100</v>
      </c>
      <c r="H26" s="149">
        <v>-100</v>
      </c>
      <c r="I26" s="250">
        <f t="shared" ref="I26:I27" si="2">+G26+H26</f>
        <v>0</v>
      </c>
      <c r="J26" s="152"/>
      <c r="K26" s="152"/>
      <c r="L26" s="152"/>
      <c r="M26" s="152"/>
      <c r="N26" s="152"/>
      <c r="O26" s="152"/>
      <c r="P26" s="1"/>
      <c r="Q26" s="1"/>
    </row>
    <row r="27" spans="1:17" ht="18" customHeight="1" x14ac:dyDescent="0.25">
      <c r="A27" s="146"/>
      <c r="B27" s="73"/>
      <c r="C27" s="254"/>
      <c r="D27" s="75"/>
      <c r="E27" s="148" t="s">
        <v>275</v>
      </c>
      <c r="F27" s="1" t="s">
        <v>276</v>
      </c>
      <c r="G27" s="149">
        <v>1000</v>
      </c>
      <c r="H27" s="149">
        <v>-1000</v>
      </c>
      <c r="I27" s="250">
        <f t="shared" si="2"/>
        <v>0</v>
      </c>
      <c r="J27" s="152"/>
      <c r="K27" s="152"/>
      <c r="L27" s="152"/>
      <c r="M27" s="152"/>
      <c r="N27" s="152"/>
      <c r="O27" s="152"/>
      <c r="P27" s="1"/>
      <c r="Q27" s="1"/>
    </row>
    <row r="28" spans="1:17" ht="18" customHeight="1" x14ac:dyDescent="0.25">
      <c r="A28" s="146"/>
      <c r="B28" s="73"/>
      <c r="C28" s="254"/>
      <c r="D28" s="75"/>
      <c r="E28" s="148" t="s">
        <v>277</v>
      </c>
      <c r="F28" s="1" t="s">
        <v>278</v>
      </c>
      <c r="G28" s="149"/>
      <c r="H28" s="149">
        <v>66377.39</v>
      </c>
      <c r="I28" s="250">
        <f>+G28+H28</f>
        <v>66377.39</v>
      </c>
      <c r="J28" s="152"/>
      <c r="K28" s="152"/>
      <c r="L28" s="152"/>
      <c r="M28" s="152"/>
      <c r="N28" s="152"/>
      <c r="O28" s="152"/>
      <c r="P28" s="1"/>
      <c r="Q28" s="1"/>
    </row>
    <row r="29" spans="1:17" ht="32.25" customHeight="1" x14ac:dyDescent="0.25">
      <c r="A29" s="146"/>
      <c r="B29" s="73"/>
      <c r="C29" s="254"/>
      <c r="D29" s="75"/>
      <c r="E29" s="148" t="s">
        <v>279</v>
      </c>
      <c r="F29" s="263" t="s">
        <v>280</v>
      </c>
      <c r="G29" s="149">
        <v>200</v>
      </c>
      <c r="H29" s="149">
        <v>-200</v>
      </c>
      <c r="I29" s="250">
        <f t="shared" ref="I29:I97" si="3">+G29+H29</f>
        <v>0</v>
      </c>
      <c r="J29" s="152"/>
      <c r="K29" s="152"/>
      <c r="L29" s="152"/>
      <c r="M29" s="152"/>
      <c r="N29" s="152"/>
      <c r="O29" s="152"/>
      <c r="P29" s="1"/>
      <c r="Q29" s="1"/>
    </row>
    <row r="30" spans="1:17" ht="18" customHeight="1" x14ac:dyDescent="0.25">
      <c r="A30" s="146"/>
      <c r="B30" s="73"/>
      <c r="C30" s="264"/>
      <c r="D30" s="75"/>
      <c r="E30" s="148">
        <v>221.73082500000001</v>
      </c>
      <c r="F30" s="1" t="s">
        <v>281</v>
      </c>
      <c r="G30" s="149">
        <v>2000</v>
      </c>
      <c r="H30" s="149">
        <v>-2000</v>
      </c>
      <c r="I30" s="250">
        <f t="shared" si="3"/>
        <v>0</v>
      </c>
      <c r="J30" s="152"/>
      <c r="K30" s="152"/>
      <c r="L30" s="152"/>
      <c r="M30" s="152"/>
      <c r="N30" s="152"/>
      <c r="O30" s="152"/>
      <c r="P30" s="1"/>
      <c r="Q30" s="1"/>
    </row>
    <row r="31" spans="1:17" ht="18" customHeight="1" x14ac:dyDescent="0.25">
      <c r="A31" s="146"/>
      <c r="B31" s="73"/>
      <c r="C31" s="156" t="s">
        <v>282</v>
      </c>
      <c r="D31" s="75"/>
      <c r="E31" s="148" t="s">
        <v>283</v>
      </c>
      <c r="F31" s="4" t="s">
        <v>284</v>
      </c>
      <c r="G31" s="149">
        <v>500</v>
      </c>
      <c r="H31" s="149">
        <v>-500</v>
      </c>
      <c r="I31" s="149">
        <f t="shared" si="3"/>
        <v>0</v>
      </c>
      <c r="J31" s="152"/>
      <c r="K31" s="151"/>
      <c r="L31" s="152"/>
      <c r="M31" s="152"/>
      <c r="N31" s="152"/>
      <c r="O31" s="152"/>
      <c r="P31" s="1"/>
      <c r="Q31" s="1"/>
    </row>
    <row r="32" spans="1:17" ht="18" customHeight="1" x14ac:dyDescent="0.25">
      <c r="A32" s="146"/>
      <c r="B32" s="73"/>
      <c r="C32" s="156"/>
      <c r="D32" s="75"/>
      <c r="E32" s="148">
        <v>221.710106</v>
      </c>
      <c r="F32" s="31" t="s">
        <v>285</v>
      </c>
      <c r="G32" s="149">
        <v>14138.64</v>
      </c>
      <c r="H32" s="149">
        <v>1810</v>
      </c>
      <c r="I32" s="250">
        <f t="shared" si="3"/>
        <v>15948.64</v>
      </c>
      <c r="J32" s="152"/>
      <c r="K32" s="151"/>
      <c r="L32" s="152"/>
      <c r="M32" s="152"/>
      <c r="N32" s="152"/>
      <c r="O32" s="152"/>
      <c r="P32" s="1"/>
      <c r="Q32" s="1"/>
    </row>
    <row r="33" spans="1:17" ht="18" customHeight="1" x14ac:dyDescent="0.25">
      <c r="A33" s="146"/>
      <c r="B33" s="73"/>
      <c r="C33" s="156"/>
      <c r="D33" s="75"/>
      <c r="E33" s="148">
        <v>221.71020300000001</v>
      </c>
      <c r="F33" s="31" t="s">
        <v>162</v>
      </c>
      <c r="G33" s="149">
        <f>[1]NOMINA!$I$32</f>
        <v>1178.22</v>
      </c>
      <c r="H33" s="149"/>
      <c r="I33" s="250">
        <f t="shared" si="3"/>
        <v>1178.22</v>
      </c>
      <c r="J33" s="152"/>
      <c r="K33" s="151"/>
      <c r="L33" s="152"/>
      <c r="M33" s="152"/>
      <c r="N33" s="152"/>
      <c r="O33" s="152"/>
      <c r="P33" s="1"/>
      <c r="Q33" s="1"/>
    </row>
    <row r="34" spans="1:17" ht="18" customHeight="1" x14ac:dyDescent="0.25">
      <c r="A34" s="146"/>
      <c r="B34" s="73"/>
      <c r="C34" s="156"/>
      <c r="D34" s="75"/>
      <c r="E34" s="148">
        <v>221710204</v>
      </c>
      <c r="F34" s="31" t="s">
        <v>163</v>
      </c>
      <c r="G34" s="149">
        <v>850</v>
      </c>
      <c r="H34" s="149"/>
      <c r="I34" s="250">
        <f t="shared" si="3"/>
        <v>850</v>
      </c>
      <c r="J34" s="152"/>
      <c r="K34" s="151"/>
      <c r="L34" s="152"/>
      <c r="M34" s="152"/>
      <c r="N34" s="152"/>
      <c r="O34" s="152"/>
      <c r="P34" s="1"/>
      <c r="Q34" s="1"/>
    </row>
    <row r="35" spans="1:17" ht="18" customHeight="1" x14ac:dyDescent="0.25">
      <c r="A35" s="146"/>
      <c r="B35" s="73"/>
      <c r="C35" s="156"/>
      <c r="D35" s="75"/>
      <c r="E35" s="148">
        <v>221.710601</v>
      </c>
      <c r="F35" s="31" t="s">
        <v>86</v>
      </c>
      <c r="G35" s="149">
        <f>[1]NOMINA!$G$32</f>
        <v>1767.33</v>
      </c>
      <c r="H35" s="149"/>
      <c r="I35" s="250">
        <f t="shared" si="3"/>
        <v>1767.33</v>
      </c>
      <c r="J35" s="152"/>
      <c r="K35" s="151"/>
      <c r="L35" s="152"/>
      <c r="M35" s="152"/>
      <c r="N35" s="152"/>
      <c r="O35" s="152"/>
      <c r="P35" s="1"/>
      <c r="Q35" s="1"/>
    </row>
    <row r="36" spans="1:17" ht="18" customHeight="1" x14ac:dyDescent="0.25">
      <c r="A36" s="146"/>
      <c r="B36" s="73"/>
      <c r="C36" s="156"/>
      <c r="D36" s="75"/>
      <c r="E36" s="260">
        <v>221.71060199999999</v>
      </c>
      <c r="F36" s="265" t="s">
        <v>128</v>
      </c>
      <c r="G36" s="149">
        <f>[1]NOMINA!$H$32</f>
        <v>1178.22</v>
      </c>
      <c r="H36" s="149"/>
      <c r="I36" s="250">
        <f t="shared" si="3"/>
        <v>1178.22</v>
      </c>
      <c r="J36" s="152"/>
      <c r="K36" s="151"/>
      <c r="L36" s="152"/>
      <c r="M36" s="152"/>
      <c r="N36" s="152"/>
      <c r="O36" s="152"/>
      <c r="P36" s="1"/>
      <c r="Q36" s="1"/>
    </row>
    <row r="37" spans="1:17" ht="18" customHeight="1" x14ac:dyDescent="0.25">
      <c r="A37" s="146"/>
      <c r="B37" s="73"/>
      <c r="C37" s="156"/>
      <c r="D37" s="75"/>
      <c r="E37" s="148" t="s">
        <v>286</v>
      </c>
      <c r="F37" s="266" t="s">
        <v>287</v>
      </c>
      <c r="G37" s="149">
        <v>264</v>
      </c>
      <c r="H37" s="149"/>
      <c r="I37" s="250">
        <f t="shared" si="3"/>
        <v>264</v>
      </c>
      <c r="J37" s="152"/>
      <c r="K37" s="151"/>
      <c r="L37" s="152"/>
      <c r="M37" s="152"/>
      <c r="N37" s="152"/>
      <c r="O37" s="152"/>
      <c r="P37" s="1"/>
      <c r="Q37" s="1"/>
    </row>
    <row r="38" spans="1:17" ht="18" customHeight="1" x14ac:dyDescent="0.25">
      <c r="A38" s="146"/>
      <c r="B38" s="73"/>
      <c r="C38" s="156"/>
      <c r="D38" s="75"/>
      <c r="E38" s="148" t="s">
        <v>288</v>
      </c>
      <c r="F38" s="266" t="s">
        <v>289</v>
      </c>
      <c r="G38" s="149">
        <v>1584</v>
      </c>
      <c r="H38" s="149">
        <v>500</v>
      </c>
      <c r="I38" s="250">
        <f t="shared" si="3"/>
        <v>2084</v>
      </c>
      <c r="J38" s="152"/>
      <c r="K38" s="151"/>
      <c r="L38" s="152"/>
      <c r="M38" s="152"/>
      <c r="N38" s="152"/>
      <c r="O38" s="152"/>
      <c r="P38" s="1"/>
      <c r="Q38" s="1"/>
    </row>
    <row r="39" spans="1:17" ht="18" customHeight="1" x14ac:dyDescent="0.25">
      <c r="A39" s="146"/>
      <c r="B39" s="73"/>
      <c r="C39" s="156"/>
      <c r="D39" s="75"/>
      <c r="E39" s="260" t="s">
        <v>290</v>
      </c>
      <c r="F39" s="152" t="s">
        <v>291</v>
      </c>
      <c r="G39" s="267">
        <v>141.84</v>
      </c>
      <c r="H39" s="267">
        <v>200</v>
      </c>
      <c r="I39" s="250">
        <f t="shared" si="3"/>
        <v>341.84000000000003</v>
      </c>
      <c r="J39" s="152"/>
      <c r="K39" s="151"/>
      <c r="L39" s="152"/>
      <c r="M39" s="152"/>
      <c r="N39" s="152"/>
      <c r="O39" s="152"/>
      <c r="P39" s="1"/>
      <c r="Q39" s="1"/>
    </row>
    <row r="40" spans="1:17" ht="18" customHeight="1" x14ac:dyDescent="0.25">
      <c r="A40" s="146"/>
      <c r="B40" s="73"/>
      <c r="C40" s="156"/>
      <c r="D40" s="75"/>
      <c r="E40" s="260" t="s">
        <v>292</v>
      </c>
      <c r="F40" s="152" t="s">
        <v>293</v>
      </c>
      <c r="G40" s="267">
        <v>40.32</v>
      </c>
      <c r="H40" s="267"/>
      <c r="I40" s="250">
        <f t="shared" si="3"/>
        <v>40.32</v>
      </c>
      <c r="J40" s="152"/>
      <c r="K40" s="151"/>
      <c r="L40" s="152"/>
      <c r="M40" s="152"/>
      <c r="N40" s="152"/>
      <c r="O40" s="152"/>
      <c r="P40" s="1"/>
      <c r="Q40" s="1"/>
    </row>
    <row r="41" spans="1:17" ht="18" customHeight="1" x14ac:dyDescent="0.25">
      <c r="A41" s="146"/>
      <c r="B41" s="73"/>
      <c r="C41" s="156"/>
      <c r="D41" s="75"/>
      <c r="E41" s="260" t="s">
        <v>294</v>
      </c>
      <c r="F41" s="152" t="s">
        <v>295</v>
      </c>
      <c r="G41" s="267">
        <v>238.2</v>
      </c>
      <c r="H41" s="267">
        <v>500</v>
      </c>
      <c r="I41" s="250">
        <f t="shared" si="3"/>
        <v>738.2</v>
      </c>
      <c r="J41" s="152"/>
      <c r="K41" s="151"/>
      <c r="L41" s="152"/>
      <c r="M41" s="152"/>
      <c r="N41" s="152"/>
      <c r="O41" s="152"/>
      <c r="P41" s="1"/>
      <c r="Q41" s="1"/>
    </row>
    <row r="42" spans="1:17" ht="18" customHeight="1" x14ac:dyDescent="0.25">
      <c r="A42" s="146"/>
      <c r="B42" s="73"/>
      <c r="C42" s="156"/>
      <c r="D42" s="75"/>
      <c r="E42" s="148" t="s">
        <v>296</v>
      </c>
      <c r="F42" s="15" t="s">
        <v>297</v>
      </c>
      <c r="G42" s="149">
        <v>38900.120000000003</v>
      </c>
      <c r="H42" s="268">
        <f>-20175.94-4824-13900.36</f>
        <v>-38900.300000000003</v>
      </c>
      <c r="I42" s="250">
        <f t="shared" si="3"/>
        <v>-0.18000000000029104</v>
      </c>
      <c r="J42" s="152"/>
      <c r="K42" s="151"/>
      <c r="L42" s="152"/>
      <c r="M42" s="152"/>
      <c r="N42" s="269"/>
      <c r="O42" s="152"/>
      <c r="P42" s="1"/>
      <c r="Q42" s="1"/>
    </row>
    <row r="43" spans="1:17" ht="18" customHeight="1" x14ac:dyDescent="0.25">
      <c r="A43" s="146"/>
      <c r="B43" s="73"/>
      <c r="C43" s="156"/>
      <c r="D43" s="75"/>
      <c r="E43" s="148">
        <v>221.73081999999999</v>
      </c>
      <c r="F43" s="15" t="s">
        <v>298</v>
      </c>
      <c r="G43" s="149">
        <v>2500</v>
      </c>
      <c r="H43" s="149">
        <v>-2500</v>
      </c>
      <c r="I43" s="149">
        <f t="shared" si="3"/>
        <v>0</v>
      </c>
      <c r="J43" s="152"/>
      <c r="K43" s="151"/>
      <c r="L43" s="152"/>
      <c r="M43" s="152"/>
      <c r="N43" s="152"/>
      <c r="O43" s="152"/>
      <c r="P43" s="1"/>
      <c r="Q43" s="1"/>
    </row>
    <row r="44" spans="1:17" ht="18" customHeight="1" x14ac:dyDescent="0.25">
      <c r="A44" s="146"/>
      <c r="B44" s="73"/>
      <c r="C44" s="156"/>
      <c r="D44" s="75"/>
      <c r="E44" s="148" t="s">
        <v>299</v>
      </c>
      <c r="F44" s="15" t="s">
        <v>41</v>
      </c>
      <c r="G44" s="149">
        <v>500</v>
      </c>
      <c r="H44" s="149"/>
      <c r="I44" s="250">
        <f t="shared" si="3"/>
        <v>500</v>
      </c>
      <c r="J44" s="152"/>
      <c r="K44" s="151"/>
      <c r="L44" s="152"/>
      <c r="M44" s="152"/>
      <c r="N44" s="152"/>
      <c r="O44" s="152"/>
      <c r="P44" s="1"/>
      <c r="Q44" s="1"/>
    </row>
    <row r="45" spans="1:17" ht="18" customHeight="1" x14ac:dyDescent="0.25">
      <c r="A45" s="146"/>
      <c r="B45" s="73"/>
      <c r="C45" s="156"/>
      <c r="D45" s="75"/>
      <c r="E45" s="148">
        <v>221.73020199999999</v>
      </c>
      <c r="F45" s="15" t="s">
        <v>300</v>
      </c>
      <c r="G45" s="149">
        <v>300</v>
      </c>
      <c r="H45" s="149">
        <v>-300</v>
      </c>
      <c r="I45" s="250">
        <f t="shared" si="3"/>
        <v>0</v>
      </c>
      <c r="J45" s="152"/>
      <c r="K45" s="152"/>
      <c r="L45" s="152"/>
      <c r="M45" s="152"/>
      <c r="N45" s="152"/>
      <c r="O45" s="152"/>
      <c r="P45" s="1"/>
      <c r="Q45" s="1"/>
    </row>
    <row r="46" spans="1:17" ht="18" customHeight="1" x14ac:dyDescent="0.25">
      <c r="A46" s="146"/>
      <c r="B46" s="251" t="s">
        <v>301</v>
      </c>
      <c r="C46" s="249" t="s">
        <v>302</v>
      </c>
      <c r="D46" s="78"/>
      <c r="E46" s="270" t="s">
        <v>303</v>
      </c>
      <c r="F46" s="1" t="s">
        <v>20</v>
      </c>
      <c r="G46" s="149">
        <v>17592</v>
      </c>
      <c r="H46" s="268">
        <v>-4622.6000000000004</v>
      </c>
      <c r="I46" s="250">
        <f t="shared" si="3"/>
        <v>12969.4</v>
      </c>
      <c r="J46" s="152"/>
      <c r="K46" s="152"/>
      <c r="L46" s="152"/>
      <c r="M46" s="152"/>
      <c r="N46" s="152"/>
      <c r="O46" s="152"/>
      <c r="P46" s="1"/>
      <c r="Q46" s="1"/>
    </row>
    <row r="47" spans="1:17" ht="18" customHeight="1" x14ac:dyDescent="0.25">
      <c r="A47" s="146"/>
      <c r="B47" s="251"/>
      <c r="C47" s="252"/>
      <c r="D47" s="75"/>
      <c r="E47" s="270">
        <v>221.71020300000001</v>
      </c>
      <c r="F47" s="1" t="s">
        <v>162</v>
      </c>
      <c r="G47" s="149">
        <v>1466</v>
      </c>
      <c r="H47" s="149"/>
      <c r="I47" s="250">
        <f t="shared" si="3"/>
        <v>1466</v>
      </c>
      <c r="J47" s="152"/>
      <c r="K47" s="152"/>
      <c r="L47" s="152"/>
      <c r="M47" s="152"/>
      <c r="N47" s="152"/>
      <c r="O47" s="152"/>
      <c r="P47" s="1"/>
      <c r="Q47" s="1"/>
    </row>
    <row r="48" spans="1:17" ht="18" customHeight="1" x14ac:dyDescent="0.25">
      <c r="A48" s="146"/>
      <c r="B48" s="251"/>
      <c r="C48" s="252"/>
      <c r="D48" s="75"/>
      <c r="E48" s="270">
        <v>221710204</v>
      </c>
      <c r="F48" s="1" t="s">
        <v>163</v>
      </c>
      <c r="G48" s="149">
        <v>850</v>
      </c>
      <c r="H48" s="149"/>
      <c r="I48" s="250">
        <f t="shared" si="3"/>
        <v>850</v>
      </c>
      <c r="J48" s="152"/>
      <c r="K48" s="152"/>
      <c r="L48" s="152"/>
      <c r="M48" s="152"/>
      <c r="N48" s="152"/>
      <c r="O48" s="152"/>
      <c r="P48" s="1"/>
      <c r="Q48" s="1"/>
    </row>
    <row r="49" spans="1:17" ht="18" customHeight="1" x14ac:dyDescent="0.25">
      <c r="A49" s="146"/>
      <c r="B49" s="251"/>
      <c r="C49" s="252"/>
      <c r="D49" s="75"/>
      <c r="E49" s="270" t="s">
        <v>304</v>
      </c>
      <c r="F49" s="1" t="s">
        <v>86</v>
      </c>
      <c r="G49" s="149">
        <v>2049.4680000000003</v>
      </c>
      <c r="H49" s="149"/>
      <c r="I49" s="250">
        <f t="shared" si="3"/>
        <v>2049.4680000000003</v>
      </c>
      <c r="J49" s="152"/>
      <c r="K49" s="152"/>
      <c r="L49" s="152"/>
      <c r="M49" s="152"/>
      <c r="N49" s="152"/>
      <c r="O49" s="152"/>
      <c r="P49" s="1"/>
      <c r="Q49" s="1"/>
    </row>
    <row r="50" spans="1:17" ht="18" customHeight="1" x14ac:dyDescent="0.25">
      <c r="A50" s="146"/>
      <c r="B50" s="251"/>
      <c r="C50" s="252"/>
      <c r="D50" s="75"/>
      <c r="E50" s="271" t="s">
        <v>305</v>
      </c>
      <c r="F50" s="152" t="s">
        <v>128</v>
      </c>
      <c r="G50" s="149">
        <v>1466</v>
      </c>
      <c r="H50" s="149"/>
      <c r="I50" s="250">
        <f t="shared" si="3"/>
        <v>1466</v>
      </c>
      <c r="J50" s="152"/>
      <c r="K50" s="152"/>
      <c r="L50" s="152"/>
      <c r="M50" s="152"/>
      <c r="N50" s="152"/>
      <c r="O50" s="152"/>
      <c r="P50" s="1"/>
      <c r="Q50" s="1"/>
    </row>
    <row r="51" spans="1:17" ht="18" customHeight="1" x14ac:dyDescent="0.25">
      <c r="A51" s="146"/>
      <c r="B51" s="251"/>
      <c r="C51" s="252"/>
      <c r="D51" s="75"/>
      <c r="E51" s="270" t="s">
        <v>306</v>
      </c>
      <c r="F51" s="1" t="s">
        <v>307</v>
      </c>
      <c r="G51" s="149">
        <f>+[2]DISCAPACIDADES!S29</f>
        <v>2400</v>
      </c>
      <c r="H51" s="149">
        <v>-2400</v>
      </c>
      <c r="I51" s="250">
        <f t="shared" si="3"/>
        <v>0</v>
      </c>
      <c r="J51" s="152"/>
      <c r="K51" s="152"/>
      <c r="L51" s="152"/>
      <c r="M51" s="152"/>
      <c r="N51" s="152"/>
      <c r="O51" s="152"/>
      <c r="P51" s="1"/>
      <c r="Q51" s="1"/>
    </row>
    <row r="52" spans="1:17" ht="18" customHeight="1" x14ac:dyDescent="0.25">
      <c r="A52" s="146"/>
      <c r="B52" s="251"/>
      <c r="C52" s="252"/>
      <c r="D52" s="75"/>
      <c r="E52" s="270" t="s">
        <v>308</v>
      </c>
      <c r="F52" s="152" t="s">
        <v>309</v>
      </c>
      <c r="G52" s="149">
        <v>2003.6</v>
      </c>
      <c r="H52" s="149"/>
      <c r="I52" s="250">
        <f t="shared" si="3"/>
        <v>2003.6</v>
      </c>
      <c r="J52" s="152"/>
      <c r="K52" s="152"/>
      <c r="L52" s="152"/>
      <c r="M52" s="152"/>
      <c r="N52" s="152"/>
      <c r="O52" s="152"/>
      <c r="P52" s="1"/>
      <c r="Q52" s="1"/>
    </row>
    <row r="53" spans="1:17" ht="18" customHeight="1" x14ac:dyDescent="0.25">
      <c r="A53" s="146"/>
      <c r="B53" s="251"/>
      <c r="C53" s="252"/>
      <c r="D53" s="75"/>
      <c r="E53" s="270">
        <v>221730201</v>
      </c>
      <c r="F53" s="1" t="s">
        <v>19</v>
      </c>
      <c r="G53" s="149">
        <v>2000</v>
      </c>
      <c r="H53" s="149"/>
      <c r="I53" s="250">
        <f t="shared" si="3"/>
        <v>2000</v>
      </c>
      <c r="J53" s="152"/>
      <c r="K53" s="152"/>
      <c r="L53" s="152"/>
      <c r="M53" s="152"/>
      <c r="N53" s="152"/>
      <c r="O53" s="152"/>
      <c r="P53" s="1"/>
      <c r="Q53" s="1"/>
    </row>
    <row r="54" spans="1:17" ht="18" customHeight="1" x14ac:dyDescent="0.25">
      <c r="A54" s="146"/>
      <c r="B54" s="251"/>
      <c r="C54" s="252"/>
      <c r="D54" s="75"/>
      <c r="E54" s="270" t="s">
        <v>310</v>
      </c>
      <c r="F54" s="1" t="s">
        <v>311</v>
      </c>
      <c r="G54" s="149">
        <f>+[2]DISCAPACIDADES!S32</f>
        <v>600</v>
      </c>
      <c r="H54" s="149">
        <v>-600</v>
      </c>
      <c r="I54" s="250">
        <f t="shared" si="3"/>
        <v>0</v>
      </c>
      <c r="J54" s="152"/>
      <c r="K54" s="152"/>
      <c r="L54" s="152"/>
      <c r="M54" s="152"/>
      <c r="N54" s="152"/>
      <c r="O54" s="152"/>
      <c r="P54" s="1"/>
      <c r="Q54" s="1"/>
    </row>
    <row r="55" spans="1:17" ht="18" customHeight="1" x14ac:dyDescent="0.25">
      <c r="A55" s="146"/>
      <c r="B55" s="251"/>
      <c r="C55" s="252"/>
      <c r="D55" s="75"/>
      <c r="E55" s="270" t="s">
        <v>312</v>
      </c>
      <c r="F55" s="1" t="s">
        <v>313</v>
      </c>
      <c r="G55" s="149"/>
      <c r="H55" s="149">
        <v>4930</v>
      </c>
      <c r="I55" s="250">
        <f t="shared" si="3"/>
        <v>4930</v>
      </c>
      <c r="J55" s="152"/>
      <c r="K55" s="152"/>
      <c r="L55" s="152"/>
      <c r="M55" s="152"/>
      <c r="N55" s="152"/>
      <c r="O55" s="152"/>
      <c r="P55" s="1"/>
      <c r="Q55" s="1"/>
    </row>
    <row r="56" spans="1:17" ht="18" customHeight="1" x14ac:dyDescent="0.25">
      <c r="A56" s="146"/>
      <c r="B56" s="251"/>
      <c r="C56" s="252"/>
      <c r="D56" s="75"/>
      <c r="E56" s="270" t="s">
        <v>314</v>
      </c>
      <c r="F56" s="1" t="s">
        <v>315</v>
      </c>
      <c r="G56" s="149">
        <v>2500</v>
      </c>
      <c r="H56" s="149">
        <f>-653-1847</f>
        <v>-2500</v>
      </c>
      <c r="I56" s="250">
        <f t="shared" si="3"/>
        <v>0</v>
      </c>
      <c r="J56" s="152"/>
      <c r="K56" s="152"/>
      <c r="L56" s="152"/>
      <c r="M56" s="152"/>
      <c r="N56" s="152"/>
      <c r="O56" s="152"/>
      <c r="P56" s="1"/>
      <c r="Q56" s="1"/>
    </row>
    <row r="57" spans="1:17" ht="18" customHeight="1" x14ac:dyDescent="0.25">
      <c r="A57" s="146"/>
      <c r="B57" s="251"/>
      <c r="C57" s="252"/>
      <c r="D57" s="75"/>
      <c r="E57" s="270" t="s">
        <v>316</v>
      </c>
      <c r="F57" s="1" t="s">
        <v>317</v>
      </c>
      <c r="G57" s="149">
        <v>4000</v>
      </c>
      <c r="H57" s="149"/>
      <c r="I57" s="250">
        <f t="shared" si="3"/>
        <v>4000</v>
      </c>
      <c r="J57" s="152"/>
      <c r="K57" s="151"/>
      <c r="L57" s="152"/>
      <c r="M57" s="152"/>
      <c r="N57" s="152"/>
      <c r="O57" s="152"/>
      <c r="P57" s="1"/>
      <c r="Q57" s="1"/>
    </row>
    <row r="58" spans="1:17" ht="18" customHeight="1" x14ac:dyDescent="0.25">
      <c r="A58" s="146"/>
      <c r="B58" s="251"/>
      <c r="C58" s="252"/>
      <c r="D58" s="75"/>
      <c r="E58" s="270">
        <v>221.73082500000001</v>
      </c>
      <c r="F58" s="1" t="s">
        <v>318</v>
      </c>
      <c r="G58" s="149">
        <v>1500</v>
      </c>
      <c r="H58" s="149">
        <v>-1500</v>
      </c>
      <c r="I58" s="250">
        <f t="shared" si="3"/>
        <v>0</v>
      </c>
      <c r="J58" s="152"/>
      <c r="K58" s="152"/>
      <c r="L58" s="152"/>
      <c r="M58" s="152"/>
      <c r="N58" s="152"/>
      <c r="O58" s="152"/>
      <c r="P58" s="1"/>
      <c r="Q58" s="1"/>
    </row>
    <row r="59" spans="1:17" ht="18" customHeight="1" x14ac:dyDescent="0.25">
      <c r="A59" s="146"/>
      <c r="B59" s="251"/>
      <c r="C59" s="252"/>
      <c r="D59" s="75"/>
      <c r="E59" s="270" t="s">
        <v>319</v>
      </c>
      <c r="F59" s="1" t="s">
        <v>320</v>
      </c>
      <c r="G59" s="149">
        <v>1000</v>
      </c>
      <c r="H59" s="149">
        <v>-1000</v>
      </c>
      <c r="I59" s="250">
        <f t="shared" si="3"/>
        <v>0</v>
      </c>
      <c r="J59" s="152"/>
      <c r="K59" s="152"/>
      <c r="L59" s="152"/>
      <c r="M59" s="152"/>
      <c r="N59" s="152"/>
      <c r="O59" s="152"/>
      <c r="P59" s="1"/>
      <c r="Q59" s="1"/>
    </row>
    <row r="60" spans="1:17" ht="18" customHeight="1" x14ac:dyDescent="0.25">
      <c r="A60" s="146"/>
      <c r="B60" s="251"/>
      <c r="C60" s="252"/>
      <c r="D60" s="75"/>
      <c r="E60" s="270" t="s">
        <v>321</v>
      </c>
      <c r="F60" s="1" t="s">
        <v>322</v>
      </c>
      <c r="G60" s="149">
        <v>1000</v>
      </c>
      <c r="H60" s="149">
        <v>-1000</v>
      </c>
      <c r="I60" s="250">
        <f t="shared" si="3"/>
        <v>0</v>
      </c>
      <c r="J60" s="152"/>
      <c r="K60" s="152"/>
      <c r="L60" s="152"/>
      <c r="M60" s="152"/>
      <c r="N60" s="152"/>
      <c r="O60" s="152"/>
      <c r="P60" s="1"/>
      <c r="Q60" s="1"/>
    </row>
    <row r="61" spans="1:17" ht="18" customHeight="1" x14ac:dyDescent="0.25">
      <c r="A61" s="146"/>
      <c r="B61" s="251"/>
      <c r="C61" s="253"/>
      <c r="D61" s="75"/>
      <c r="E61" s="270" t="s">
        <v>323</v>
      </c>
      <c r="F61" s="31" t="s">
        <v>41</v>
      </c>
      <c r="G61" s="149">
        <v>600</v>
      </c>
      <c r="H61" s="149"/>
      <c r="I61" s="250">
        <f t="shared" si="3"/>
        <v>600</v>
      </c>
      <c r="J61" s="152"/>
      <c r="K61" s="152"/>
      <c r="L61" s="152"/>
      <c r="M61" s="152"/>
      <c r="N61" s="152"/>
      <c r="O61" s="152"/>
      <c r="P61" s="1"/>
      <c r="Q61" s="1"/>
    </row>
    <row r="62" spans="1:17" ht="18" customHeight="1" x14ac:dyDescent="0.25">
      <c r="A62" s="146"/>
      <c r="B62" s="251"/>
      <c r="C62" s="249" t="s">
        <v>324</v>
      </c>
      <c r="D62" s="207"/>
      <c r="E62" s="148" t="s">
        <v>325</v>
      </c>
      <c r="F62" s="1" t="s">
        <v>20</v>
      </c>
      <c r="G62" s="149">
        <v>85476</v>
      </c>
      <c r="H62" s="149">
        <v>-4622.6000000000004</v>
      </c>
      <c r="I62" s="250">
        <f t="shared" si="3"/>
        <v>80853.399999999994</v>
      </c>
      <c r="J62" s="152"/>
      <c r="K62" s="152"/>
      <c r="L62" s="152"/>
      <c r="M62" s="152"/>
      <c r="N62" s="152"/>
      <c r="O62" s="152"/>
      <c r="P62" s="1"/>
      <c r="Q62" s="1"/>
    </row>
    <row r="63" spans="1:17" ht="18" customHeight="1" x14ac:dyDescent="0.25">
      <c r="A63" s="146"/>
      <c r="B63" s="251"/>
      <c r="C63" s="252"/>
      <c r="D63" s="207"/>
      <c r="E63" s="148">
        <v>221.71020300000001</v>
      </c>
      <c r="F63" s="1" t="s">
        <v>162</v>
      </c>
      <c r="G63" s="149">
        <v>5525</v>
      </c>
      <c r="H63" s="149"/>
      <c r="I63" s="250">
        <f t="shared" si="3"/>
        <v>5525</v>
      </c>
      <c r="J63" s="152"/>
      <c r="K63" s="152"/>
      <c r="L63" s="152"/>
      <c r="M63" s="152"/>
      <c r="N63" s="152"/>
      <c r="O63" s="152"/>
      <c r="P63" s="1"/>
      <c r="Q63" s="1"/>
    </row>
    <row r="64" spans="1:17" ht="18" customHeight="1" x14ac:dyDescent="0.25">
      <c r="A64" s="146"/>
      <c r="B64" s="251"/>
      <c r="C64" s="252"/>
      <c r="D64" s="207"/>
      <c r="E64" s="148">
        <v>221710204</v>
      </c>
      <c r="F64" s="1" t="s">
        <v>163</v>
      </c>
      <c r="G64" s="149">
        <v>5525</v>
      </c>
      <c r="H64" s="149"/>
      <c r="I64" s="250">
        <f t="shared" si="3"/>
        <v>5525</v>
      </c>
      <c r="J64" s="152"/>
      <c r="K64" s="152"/>
      <c r="L64" s="152"/>
      <c r="M64" s="152"/>
      <c r="N64" s="152"/>
      <c r="O64" s="152"/>
      <c r="P64" s="1"/>
      <c r="Q64" s="1"/>
    </row>
    <row r="65" spans="1:17" ht="18" customHeight="1" x14ac:dyDescent="0.25">
      <c r="A65" s="146"/>
      <c r="B65" s="251"/>
      <c r="C65" s="252"/>
      <c r="D65" s="207"/>
      <c r="E65" s="271" t="s">
        <v>304</v>
      </c>
      <c r="F65" s="152" t="s">
        <v>86</v>
      </c>
      <c r="G65" s="272">
        <v>7723.95</v>
      </c>
      <c r="H65" s="272"/>
      <c r="I65" s="250">
        <f t="shared" si="3"/>
        <v>7723.95</v>
      </c>
      <c r="J65" s="152"/>
      <c r="K65" s="152"/>
      <c r="L65" s="152"/>
      <c r="M65" s="152"/>
      <c r="N65" s="152"/>
      <c r="O65" s="152"/>
      <c r="P65" s="1"/>
      <c r="Q65" s="1"/>
    </row>
    <row r="66" spans="1:17" ht="18" customHeight="1" x14ac:dyDescent="0.25">
      <c r="A66" s="146"/>
      <c r="B66" s="251"/>
      <c r="C66" s="252"/>
      <c r="D66" s="207"/>
      <c r="E66" s="148" t="s">
        <v>305</v>
      </c>
      <c r="F66" s="1" t="s">
        <v>128</v>
      </c>
      <c r="G66" s="149">
        <v>5525</v>
      </c>
      <c r="H66" s="149"/>
      <c r="I66" s="250">
        <f t="shared" si="3"/>
        <v>5525</v>
      </c>
      <c r="J66" s="152"/>
      <c r="K66" s="152"/>
      <c r="L66" s="152"/>
      <c r="M66" s="152"/>
      <c r="N66" s="152"/>
      <c r="O66" s="152"/>
      <c r="P66" s="1"/>
      <c r="Q66" s="1"/>
    </row>
    <row r="67" spans="1:17" ht="18" customHeight="1" x14ac:dyDescent="0.25">
      <c r="A67" s="146"/>
      <c r="B67" s="251"/>
      <c r="C67" s="252"/>
      <c r="D67" s="207"/>
      <c r="E67" s="148" t="s">
        <v>326</v>
      </c>
      <c r="F67" s="1" t="s">
        <v>52</v>
      </c>
      <c r="G67" s="149">
        <v>600</v>
      </c>
      <c r="H67" s="149"/>
      <c r="I67" s="250">
        <f t="shared" si="3"/>
        <v>600</v>
      </c>
      <c r="J67" s="152"/>
      <c r="K67" s="152"/>
      <c r="L67" s="152"/>
      <c r="M67" s="152"/>
      <c r="N67" s="152"/>
      <c r="O67" s="152"/>
      <c r="P67" s="1"/>
      <c r="Q67" s="1"/>
    </row>
    <row r="68" spans="1:17" ht="18" customHeight="1" x14ac:dyDescent="0.25">
      <c r="A68" s="146"/>
      <c r="B68" s="251"/>
      <c r="C68" s="252"/>
      <c r="D68" s="207"/>
      <c r="E68" s="148" t="s">
        <v>327</v>
      </c>
      <c r="F68" s="1" t="s">
        <v>328</v>
      </c>
      <c r="G68" s="149">
        <v>300</v>
      </c>
      <c r="H68" s="149"/>
      <c r="I68" s="250">
        <f t="shared" si="3"/>
        <v>300</v>
      </c>
      <c r="J68" s="152"/>
      <c r="K68" s="151"/>
      <c r="L68" s="152"/>
      <c r="M68" s="152"/>
      <c r="N68" s="152"/>
      <c r="O68" s="152"/>
      <c r="P68" s="1"/>
      <c r="Q68" s="1"/>
    </row>
    <row r="69" spans="1:17" ht="18" customHeight="1" x14ac:dyDescent="0.25">
      <c r="A69" s="146"/>
      <c r="B69" s="251"/>
      <c r="C69" s="252"/>
      <c r="D69" s="207"/>
      <c r="E69" s="148" t="s">
        <v>329</v>
      </c>
      <c r="F69" s="1" t="s">
        <v>330</v>
      </c>
      <c r="G69" s="149">
        <v>1300</v>
      </c>
      <c r="H69" s="149"/>
      <c r="I69" s="250">
        <f t="shared" si="3"/>
        <v>1300</v>
      </c>
      <c r="J69" s="152"/>
      <c r="K69" s="151"/>
      <c r="L69" s="152"/>
      <c r="M69" s="152"/>
      <c r="N69" s="152"/>
      <c r="O69" s="152"/>
      <c r="P69" s="1"/>
      <c r="Q69" s="1"/>
    </row>
    <row r="70" spans="1:17" ht="18" customHeight="1" x14ac:dyDescent="0.25">
      <c r="A70" s="146"/>
      <c r="B70" s="251"/>
      <c r="C70" s="252"/>
      <c r="D70" s="207"/>
      <c r="E70" s="148" t="s">
        <v>331</v>
      </c>
      <c r="F70" s="1" t="s">
        <v>332</v>
      </c>
      <c r="G70" s="149">
        <v>1440</v>
      </c>
      <c r="H70" s="149"/>
      <c r="I70" s="250">
        <f t="shared" si="3"/>
        <v>1440</v>
      </c>
      <c r="J70" s="152"/>
      <c r="K70" s="151"/>
      <c r="L70" s="152"/>
      <c r="M70" s="152"/>
      <c r="N70" s="152"/>
      <c r="O70" s="152"/>
      <c r="P70" s="1"/>
      <c r="Q70" s="1"/>
    </row>
    <row r="71" spans="1:17" ht="18" customHeight="1" x14ac:dyDescent="0.25">
      <c r="A71" s="146"/>
      <c r="B71" s="251"/>
      <c r="C71" s="252"/>
      <c r="D71" s="207"/>
      <c r="E71" s="148" t="s">
        <v>333</v>
      </c>
      <c r="F71" s="1" t="s">
        <v>19</v>
      </c>
      <c r="G71" s="149">
        <f>+'[2]DESARROLLO INFANTIL'!S35</f>
        <v>3000</v>
      </c>
      <c r="H71" s="149"/>
      <c r="I71" s="250">
        <f t="shared" si="3"/>
        <v>3000</v>
      </c>
      <c r="J71" s="152"/>
      <c r="K71" s="151"/>
      <c r="L71" s="152"/>
      <c r="M71" s="152"/>
      <c r="N71" s="152"/>
      <c r="O71" s="152"/>
      <c r="P71" s="1"/>
      <c r="Q71" s="1"/>
    </row>
    <row r="72" spans="1:17" ht="18" customHeight="1" x14ac:dyDescent="0.25">
      <c r="A72" s="146"/>
      <c r="B72" s="251"/>
      <c r="C72" s="252"/>
      <c r="D72" s="207"/>
      <c r="E72" s="148" t="s">
        <v>334</v>
      </c>
      <c r="F72" s="1" t="s">
        <v>335</v>
      </c>
      <c r="G72" s="149">
        <f>+'[2]DESARROLLO INFANTIL'!S37</f>
        <v>5000</v>
      </c>
      <c r="H72" s="149">
        <f>-3220.88+900+4320.88</f>
        <v>2000</v>
      </c>
      <c r="I72" s="250">
        <f t="shared" si="3"/>
        <v>7000</v>
      </c>
      <c r="J72" s="152"/>
      <c r="K72" s="152"/>
      <c r="L72" s="152"/>
      <c r="M72" s="152"/>
      <c r="N72" s="269"/>
      <c r="O72" s="152"/>
      <c r="P72" s="1"/>
      <c r="Q72" s="1"/>
    </row>
    <row r="73" spans="1:17" ht="18" customHeight="1" x14ac:dyDescent="0.25">
      <c r="A73" s="146"/>
      <c r="B73" s="251"/>
      <c r="C73" s="252"/>
      <c r="D73" s="207"/>
      <c r="E73" s="148" t="s">
        <v>336</v>
      </c>
      <c r="F73" s="1" t="s">
        <v>337</v>
      </c>
      <c r="G73" s="149">
        <v>2102.6</v>
      </c>
      <c r="H73" s="149"/>
      <c r="I73" s="250">
        <f t="shared" si="3"/>
        <v>2102.6</v>
      </c>
      <c r="J73" s="152"/>
      <c r="K73" s="152"/>
      <c r="L73" s="152"/>
      <c r="M73" s="152"/>
      <c r="N73" s="269"/>
      <c r="O73" s="152"/>
      <c r="P73" s="1"/>
      <c r="Q73" s="1"/>
    </row>
    <row r="74" spans="1:17" ht="18" customHeight="1" x14ac:dyDescent="0.25">
      <c r="A74" s="146"/>
      <c r="B74" s="251"/>
      <c r="C74" s="252"/>
      <c r="D74" s="207"/>
      <c r="E74" s="148" t="s">
        <v>338</v>
      </c>
      <c r="F74" s="1" t="s">
        <v>339</v>
      </c>
      <c r="G74" s="149">
        <v>10000</v>
      </c>
      <c r="H74" s="149">
        <v>-10000</v>
      </c>
      <c r="I74" s="250">
        <f t="shared" si="3"/>
        <v>0</v>
      </c>
      <c r="J74" s="152"/>
      <c r="K74" s="152"/>
      <c r="L74" s="152"/>
      <c r="M74" s="152"/>
      <c r="N74" s="152"/>
      <c r="O74" s="152"/>
      <c r="P74" s="1"/>
      <c r="Q74" s="1"/>
    </row>
    <row r="75" spans="1:17" ht="18" customHeight="1" x14ac:dyDescent="0.25">
      <c r="A75" s="146"/>
      <c r="B75" s="251"/>
      <c r="C75" s="252"/>
      <c r="D75" s="207"/>
      <c r="E75" s="148" t="s">
        <v>340</v>
      </c>
      <c r="F75" s="1" t="s">
        <v>341</v>
      </c>
      <c r="G75" s="149">
        <v>3000</v>
      </c>
      <c r="H75" s="149">
        <f>-3000+3000</f>
        <v>0</v>
      </c>
      <c r="I75" s="250">
        <f t="shared" si="3"/>
        <v>3000</v>
      </c>
      <c r="J75" s="152"/>
      <c r="K75" s="152"/>
      <c r="L75" s="152"/>
      <c r="M75" s="152"/>
      <c r="N75" s="152"/>
      <c r="O75" s="152"/>
      <c r="P75" s="1"/>
      <c r="Q75" s="1"/>
    </row>
    <row r="76" spans="1:17" ht="18" customHeight="1" x14ac:dyDescent="0.25">
      <c r="A76" s="146"/>
      <c r="B76" s="251"/>
      <c r="C76" s="252"/>
      <c r="D76" s="207"/>
      <c r="E76" s="273" t="s">
        <v>342</v>
      </c>
      <c r="F76" s="15" t="s">
        <v>343</v>
      </c>
      <c r="G76" s="274">
        <f>+[1]CDI!T19</f>
        <v>97354.857600000003</v>
      </c>
      <c r="H76" s="275">
        <f>-41578.55+6320.88+9153+10889.07</f>
        <v>-15215.600000000006</v>
      </c>
      <c r="I76" s="250">
        <f t="shared" si="3"/>
        <v>82139.257599999997</v>
      </c>
      <c r="J76" s="152"/>
      <c r="K76" s="152"/>
      <c r="L76" s="152"/>
      <c r="M76" s="152"/>
      <c r="N76" s="269"/>
      <c r="O76" s="152"/>
      <c r="P76" s="1"/>
      <c r="Q76" s="1"/>
    </row>
    <row r="77" spans="1:17" ht="18" customHeight="1" x14ac:dyDescent="0.25">
      <c r="A77" s="146"/>
      <c r="B77" s="251"/>
      <c r="C77" s="252"/>
      <c r="D77" s="207"/>
      <c r="E77" s="148" t="s">
        <v>344</v>
      </c>
      <c r="F77" s="1" t="s">
        <v>297</v>
      </c>
      <c r="G77" s="149">
        <f>+'[2]DESARROLLO INFANTIL'!S42</f>
        <v>400</v>
      </c>
      <c r="H77" s="149"/>
      <c r="I77" s="250">
        <f t="shared" si="3"/>
        <v>400</v>
      </c>
      <c r="J77" s="152"/>
      <c r="K77" s="152"/>
      <c r="L77" s="152"/>
      <c r="M77" s="152"/>
      <c r="N77" s="152"/>
      <c r="O77" s="152"/>
      <c r="P77" s="1"/>
      <c r="Q77" s="1"/>
    </row>
    <row r="78" spans="1:17" ht="18" customHeight="1" x14ac:dyDescent="0.25">
      <c r="A78" s="146"/>
      <c r="B78" s="251"/>
      <c r="C78" s="252"/>
      <c r="D78" s="207"/>
      <c r="E78" s="148">
        <v>221.73080400000001</v>
      </c>
      <c r="F78" s="1" t="s">
        <v>345</v>
      </c>
      <c r="G78" s="149">
        <f>+'[2]DESARROLLO INFANTIL'!S29</f>
        <v>1000</v>
      </c>
      <c r="H78" s="149"/>
      <c r="I78" s="250">
        <f t="shared" si="3"/>
        <v>1000</v>
      </c>
      <c r="J78" s="152"/>
      <c r="K78" s="152"/>
      <c r="L78" s="152"/>
      <c r="M78" s="152"/>
      <c r="N78" s="152"/>
      <c r="O78" s="152"/>
      <c r="P78" s="1"/>
      <c r="Q78" s="1"/>
    </row>
    <row r="79" spans="1:17" ht="18" customHeight="1" x14ac:dyDescent="0.25">
      <c r="A79" s="146"/>
      <c r="B79" s="251"/>
      <c r="C79" s="252"/>
      <c r="D79" s="207"/>
      <c r="E79" s="148" t="s">
        <v>346</v>
      </c>
      <c r="F79" s="1" t="s">
        <v>347</v>
      </c>
      <c r="G79" s="149">
        <f>+'[2]DESARROLLO INFANTIL'!S23</f>
        <v>4000</v>
      </c>
      <c r="H79" s="149">
        <v>-4000</v>
      </c>
      <c r="I79" s="250">
        <f t="shared" si="3"/>
        <v>0</v>
      </c>
      <c r="J79" s="152"/>
      <c r="K79" s="152"/>
      <c r="L79" s="152"/>
      <c r="M79" s="152"/>
      <c r="N79" s="152"/>
      <c r="O79" s="152"/>
      <c r="P79" s="1"/>
      <c r="Q79" s="1"/>
    </row>
    <row r="80" spans="1:17" ht="18" customHeight="1" x14ac:dyDescent="0.25">
      <c r="A80" s="146"/>
      <c r="B80" s="251"/>
      <c r="C80" s="252"/>
      <c r="D80" s="207"/>
      <c r="E80" s="148" t="s">
        <v>348</v>
      </c>
      <c r="F80" s="1" t="s">
        <v>349</v>
      </c>
      <c r="G80" s="149">
        <v>3128</v>
      </c>
      <c r="H80" s="149"/>
      <c r="I80" s="250">
        <f t="shared" si="3"/>
        <v>3128</v>
      </c>
      <c r="J80" s="152"/>
      <c r="K80" s="152"/>
      <c r="L80" s="152"/>
      <c r="M80" s="152"/>
      <c r="N80" s="152"/>
      <c r="O80" s="152"/>
      <c r="P80" s="1"/>
      <c r="Q80" s="1"/>
    </row>
    <row r="81" spans="1:17" ht="18" customHeight="1" x14ac:dyDescent="0.25">
      <c r="A81" s="146"/>
      <c r="B81" s="251"/>
      <c r="C81" s="252"/>
      <c r="D81" s="207"/>
      <c r="E81" s="148" t="s">
        <v>350</v>
      </c>
      <c r="F81" s="1" t="s">
        <v>351</v>
      </c>
      <c r="G81" s="149">
        <f>+'[2]DESARROLLO INFANTIL'!S32</f>
        <v>3000</v>
      </c>
      <c r="H81" s="149"/>
      <c r="I81" s="250">
        <f t="shared" si="3"/>
        <v>3000</v>
      </c>
      <c r="J81" s="152"/>
      <c r="K81" s="152"/>
      <c r="L81" s="152"/>
      <c r="M81" s="152"/>
      <c r="N81" s="152"/>
      <c r="O81" s="152"/>
      <c r="P81" s="1"/>
      <c r="Q81" s="1"/>
    </row>
    <row r="82" spans="1:17" ht="18" customHeight="1" x14ac:dyDescent="0.25">
      <c r="A82" s="146"/>
      <c r="B82" s="251"/>
      <c r="C82" s="252"/>
      <c r="D82" s="207"/>
      <c r="E82" s="148" t="s">
        <v>352</v>
      </c>
      <c r="F82" s="1" t="s">
        <v>353</v>
      </c>
      <c r="G82" s="149">
        <f>+'[2]DESARROLLO INFANTIL'!S22</f>
        <v>300</v>
      </c>
      <c r="H82" s="149">
        <v>-300</v>
      </c>
      <c r="I82" s="250">
        <f t="shared" si="3"/>
        <v>0</v>
      </c>
      <c r="J82" s="152"/>
      <c r="K82" s="152"/>
      <c r="L82" s="152"/>
      <c r="M82" s="152"/>
      <c r="N82" s="152"/>
      <c r="O82" s="152"/>
      <c r="P82" s="1"/>
      <c r="Q82" s="1"/>
    </row>
    <row r="83" spans="1:17" ht="18" customHeight="1" x14ac:dyDescent="0.25">
      <c r="A83" s="146"/>
      <c r="B83" s="251"/>
      <c r="C83" s="252"/>
      <c r="D83" s="207"/>
      <c r="E83" s="148" t="s">
        <v>354</v>
      </c>
      <c r="F83" s="1" t="s">
        <v>355</v>
      </c>
      <c r="G83" s="149">
        <f>+'[2]DESARROLLO INFANTIL'!S30</f>
        <v>3500</v>
      </c>
      <c r="H83" s="149"/>
      <c r="I83" s="250">
        <f t="shared" si="3"/>
        <v>3500</v>
      </c>
      <c r="J83" s="152"/>
      <c r="K83" s="152"/>
      <c r="L83" s="152"/>
      <c r="M83" s="151"/>
      <c r="N83" s="152"/>
      <c r="O83" s="152"/>
      <c r="P83" s="1"/>
      <c r="Q83" s="1"/>
    </row>
    <row r="84" spans="1:17" ht="18" customHeight="1" x14ac:dyDescent="0.25">
      <c r="A84" s="146"/>
      <c r="B84" s="251"/>
      <c r="C84" s="252"/>
      <c r="D84" s="207"/>
      <c r="E84" s="148" t="s">
        <v>356</v>
      </c>
      <c r="F84" s="1" t="s">
        <v>357</v>
      </c>
      <c r="G84" s="149">
        <v>4500</v>
      </c>
      <c r="H84" s="149">
        <f>-2000-2500</f>
        <v>-4500</v>
      </c>
      <c r="I84" s="250">
        <f t="shared" si="3"/>
        <v>0</v>
      </c>
      <c r="J84" s="152"/>
      <c r="K84" s="152"/>
      <c r="L84" s="152"/>
      <c r="M84" s="152"/>
      <c r="N84" s="152"/>
      <c r="O84" s="152"/>
      <c r="P84" s="1"/>
      <c r="Q84" s="1"/>
    </row>
    <row r="85" spans="1:17" ht="18" customHeight="1" x14ac:dyDescent="0.25">
      <c r="A85" s="146"/>
      <c r="B85" s="251"/>
      <c r="C85" s="252"/>
      <c r="D85" s="207"/>
      <c r="E85" s="148" t="s">
        <v>319</v>
      </c>
      <c r="F85" s="1" t="s">
        <v>172</v>
      </c>
      <c r="G85" s="149">
        <v>2000</v>
      </c>
      <c r="H85" s="149">
        <v>-2000</v>
      </c>
      <c r="I85" s="250">
        <f t="shared" si="3"/>
        <v>0</v>
      </c>
      <c r="J85" s="152"/>
      <c r="K85" s="152"/>
      <c r="L85" s="152"/>
      <c r="M85" s="152"/>
      <c r="N85" s="152"/>
      <c r="O85" s="152"/>
      <c r="P85" s="1"/>
      <c r="Q85" s="1"/>
    </row>
    <row r="86" spans="1:17" ht="18" customHeight="1" x14ac:dyDescent="0.25">
      <c r="A86" s="146"/>
      <c r="B86" s="251"/>
      <c r="C86" s="252"/>
      <c r="D86" s="207"/>
      <c r="E86" s="148" t="s">
        <v>340</v>
      </c>
      <c r="F86" s="1" t="s">
        <v>358</v>
      </c>
      <c r="G86" s="149">
        <v>53.63</v>
      </c>
      <c r="H86" s="149"/>
      <c r="I86" s="250">
        <f t="shared" si="3"/>
        <v>53.63</v>
      </c>
      <c r="J86" s="152"/>
      <c r="K86" s="152"/>
      <c r="L86" s="152"/>
      <c r="M86" s="152"/>
      <c r="N86" s="152"/>
      <c r="O86" s="152"/>
      <c r="P86" s="1"/>
      <c r="Q86" s="1"/>
    </row>
    <row r="87" spans="1:17" ht="18" customHeight="1" x14ac:dyDescent="0.25">
      <c r="A87" s="146"/>
      <c r="B87" s="251"/>
      <c r="C87" s="262" t="s">
        <v>359</v>
      </c>
      <c r="D87" s="75"/>
      <c r="E87" s="276" t="s">
        <v>360</v>
      </c>
      <c r="F87" s="199" t="s">
        <v>20</v>
      </c>
      <c r="G87" s="149">
        <v>11832</v>
      </c>
      <c r="H87" s="149"/>
      <c r="I87" s="250">
        <f t="shared" si="3"/>
        <v>11832</v>
      </c>
      <c r="J87" s="152"/>
      <c r="K87" s="152"/>
      <c r="L87" s="152"/>
      <c r="M87" s="152"/>
      <c r="N87" s="152"/>
      <c r="O87" s="152"/>
      <c r="P87" s="1"/>
      <c r="Q87" s="1"/>
    </row>
    <row r="88" spans="1:17" ht="18" customHeight="1" x14ac:dyDescent="0.25">
      <c r="A88" s="146"/>
      <c r="B88" s="251"/>
      <c r="C88" s="254"/>
      <c r="D88" s="75"/>
      <c r="E88" s="276">
        <v>221.71020300000001</v>
      </c>
      <c r="F88" s="199" t="s">
        <v>162</v>
      </c>
      <c r="G88" s="149">
        <v>986</v>
      </c>
      <c r="H88" s="149"/>
      <c r="I88" s="250">
        <f t="shared" si="3"/>
        <v>986</v>
      </c>
      <c r="J88" s="152"/>
      <c r="K88" s="152"/>
      <c r="L88" s="152"/>
      <c r="M88" s="152"/>
      <c r="N88" s="152"/>
      <c r="O88" s="152"/>
      <c r="P88" s="1"/>
      <c r="Q88" s="1"/>
    </row>
    <row r="89" spans="1:17" ht="18" customHeight="1" x14ac:dyDescent="0.25">
      <c r="A89" s="146"/>
      <c r="B89" s="251"/>
      <c r="C89" s="254"/>
      <c r="D89" s="75"/>
      <c r="E89" s="276" t="s">
        <v>361</v>
      </c>
      <c r="F89" s="199" t="s">
        <v>163</v>
      </c>
      <c r="G89" s="149">
        <v>425</v>
      </c>
      <c r="H89" s="149"/>
      <c r="I89" s="250">
        <f t="shared" si="3"/>
        <v>425</v>
      </c>
      <c r="J89" s="152"/>
      <c r="K89" s="152"/>
      <c r="L89" s="152"/>
      <c r="M89" s="152"/>
      <c r="N89" s="152"/>
      <c r="O89" s="152"/>
      <c r="P89" s="1"/>
      <c r="Q89" s="1"/>
    </row>
    <row r="90" spans="1:17" ht="18" customHeight="1" x14ac:dyDescent="0.25">
      <c r="A90" s="146"/>
      <c r="B90" s="251"/>
      <c r="C90" s="254"/>
      <c r="D90" s="75"/>
      <c r="E90" s="276" t="s">
        <v>304</v>
      </c>
      <c r="F90" s="199" t="s">
        <v>86</v>
      </c>
      <c r="G90" s="149">
        <v>1378.4280000000001</v>
      </c>
      <c r="H90" s="149"/>
      <c r="I90" s="250">
        <f t="shared" si="3"/>
        <v>1378.4280000000001</v>
      </c>
      <c r="J90" s="152"/>
      <c r="K90" s="152"/>
      <c r="L90" s="152"/>
      <c r="M90" s="152"/>
      <c r="N90" s="152"/>
      <c r="O90" s="152"/>
      <c r="P90" s="1"/>
      <c r="Q90" s="1"/>
    </row>
    <row r="91" spans="1:17" ht="18" customHeight="1" x14ac:dyDescent="0.25">
      <c r="A91" s="146"/>
      <c r="B91" s="251"/>
      <c r="C91" s="254"/>
      <c r="D91" s="75"/>
      <c r="E91" s="276" t="s">
        <v>305</v>
      </c>
      <c r="F91" s="199" t="s">
        <v>128</v>
      </c>
      <c r="G91" s="149">
        <v>986</v>
      </c>
      <c r="H91" s="149"/>
      <c r="I91" s="250">
        <f t="shared" si="3"/>
        <v>986</v>
      </c>
      <c r="J91" s="152"/>
      <c r="K91" s="152"/>
      <c r="L91" s="152"/>
      <c r="M91" s="152"/>
      <c r="N91" s="152"/>
      <c r="O91" s="152"/>
      <c r="P91" s="1"/>
      <c r="Q91" s="1"/>
    </row>
    <row r="92" spans="1:17" ht="18" customHeight="1" x14ac:dyDescent="0.25">
      <c r="A92" s="146"/>
      <c r="B92" s="251"/>
      <c r="C92" s="254"/>
      <c r="D92" s="75"/>
      <c r="E92" s="276" t="s">
        <v>362</v>
      </c>
      <c r="F92" s="277" t="s">
        <v>363</v>
      </c>
      <c r="G92" s="149">
        <f>+'[2]ALDULTO MAYOR DISCAPACIDAD'!S19</f>
        <v>2400</v>
      </c>
      <c r="H92" s="149">
        <v>-2400</v>
      </c>
      <c r="I92" s="250">
        <f t="shared" si="3"/>
        <v>0</v>
      </c>
      <c r="J92" s="152"/>
      <c r="K92" s="152"/>
      <c r="L92" s="152"/>
      <c r="M92" s="152"/>
      <c r="N92" s="152"/>
      <c r="O92" s="152"/>
      <c r="P92" s="1"/>
      <c r="Q92" s="1"/>
    </row>
    <row r="93" spans="1:17" ht="18" customHeight="1" x14ac:dyDescent="0.25">
      <c r="A93" s="146"/>
      <c r="B93" s="251"/>
      <c r="C93" s="254"/>
      <c r="D93" s="75"/>
      <c r="E93" s="276" t="s">
        <v>364</v>
      </c>
      <c r="F93" s="199" t="s">
        <v>365</v>
      </c>
      <c r="G93" s="149">
        <f>+'[2]ALDULTO MAYOR DISCAPACIDAD'!S20</f>
        <v>900</v>
      </c>
      <c r="H93" s="149"/>
      <c r="I93" s="250">
        <f t="shared" si="3"/>
        <v>900</v>
      </c>
      <c r="J93" s="152"/>
      <c r="K93" s="152"/>
      <c r="L93" s="152"/>
      <c r="M93" s="152"/>
      <c r="N93" s="152"/>
      <c r="O93" s="152"/>
      <c r="P93" s="1"/>
      <c r="Q93" s="1"/>
    </row>
    <row r="94" spans="1:17" ht="18" customHeight="1" x14ac:dyDescent="0.25">
      <c r="A94" s="146"/>
      <c r="B94" s="251"/>
      <c r="C94" s="254"/>
      <c r="D94" s="75"/>
      <c r="E94" s="276">
        <v>221.73080400000001</v>
      </c>
      <c r="F94" s="199" t="s">
        <v>366</v>
      </c>
      <c r="G94" s="149">
        <f>+'[2]ALDULTO MAYOR DISCAPACIDAD'!S21</f>
        <v>1000</v>
      </c>
      <c r="H94" s="149"/>
      <c r="I94" s="250">
        <f t="shared" si="3"/>
        <v>1000</v>
      </c>
      <c r="J94" s="152"/>
      <c r="K94" s="152"/>
      <c r="L94" s="152"/>
      <c r="M94" s="152"/>
      <c r="N94" s="152"/>
      <c r="O94" s="152"/>
      <c r="P94" s="1"/>
      <c r="Q94" s="1"/>
    </row>
    <row r="95" spans="1:17" ht="18" customHeight="1" x14ac:dyDescent="0.25">
      <c r="A95" s="146"/>
      <c r="B95" s="251"/>
      <c r="C95" s="254"/>
      <c r="D95" s="75"/>
      <c r="E95" s="276" t="s">
        <v>367</v>
      </c>
      <c r="F95" s="199" t="s">
        <v>368</v>
      </c>
      <c r="G95" s="149">
        <f>+'[2]ALDULTO MAYOR DISCAPACIDAD'!S22+'[2]ALDULTO MAYOR DISCAPACIDAD'!S34</f>
        <v>900</v>
      </c>
      <c r="H95" s="149"/>
      <c r="I95" s="250">
        <f t="shared" si="3"/>
        <v>900</v>
      </c>
      <c r="J95" s="152"/>
      <c r="K95" s="152"/>
      <c r="L95" s="152"/>
      <c r="M95" s="152"/>
      <c r="N95" s="152"/>
      <c r="O95" s="152"/>
      <c r="P95" s="1"/>
      <c r="Q95" s="1"/>
    </row>
    <row r="96" spans="1:17" ht="36.75" customHeight="1" x14ac:dyDescent="0.25">
      <c r="A96" s="146"/>
      <c r="B96" s="251"/>
      <c r="C96" s="254"/>
      <c r="D96" s="75"/>
      <c r="E96" s="276">
        <v>221.73080899999999</v>
      </c>
      <c r="F96" s="199" t="s">
        <v>369</v>
      </c>
      <c r="G96" s="149">
        <v>1000</v>
      </c>
      <c r="H96" s="149"/>
      <c r="I96" s="250">
        <f t="shared" si="3"/>
        <v>1000</v>
      </c>
      <c r="J96" s="152"/>
      <c r="K96" s="152"/>
      <c r="L96" s="152"/>
      <c r="M96" s="152"/>
      <c r="N96" s="152"/>
      <c r="O96" s="152"/>
      <c r="P96" s="1"/>
      <c r="Q96" s="1"/>
    </row>
    <row r="97" spans="1:17" ht="18" customHeight="1" x14ac:dyDescent="0.25">
      <c r="A97" s="146"/>
      <c r="B97" s="251"/>
      <c r="C97" s="254"/>
      <c r="D97" s="75"/>
      <c r="E97" s="276">
        <v>221.730808</v>
      </c>
      <c r="F97" s="199" t="s">
        <v>370</v>
      </c>
      <c r="G97" s="149">
        <f>+'[2]ALDULTO MAYOR DISCAPACIDAD'!S24</f>
        <v>600</v>
      </c>
      <c r="H97" s="149"/>
      <c r="I97" s="250">
        <f t="shared" si="3"/>
        <v>600</v>
      </c>
      <c r="J97" s="152"/>
      <c r="K97" s="152"/>
      <c r="L97" s="152"/>
      <c r="M97" s="152"/>
      <c r="N97" s="152"/>
      <c r="O97" s="152"/>
      <c r="P97" s="1"/>
      <c r="Q97" s="1"/>
    </row>
    <row r="98" spans="1:17" ht="18" customHeight="1" x14ac:dyDescent="0.25">
      <c r="A98" s="146"/>
      <c r="B98" s="251"/>
      <c r="C98" s="254"/>
      <c r="D98" s="75"/>
      <c r="E98" s="148" t="s">
        <v>362</v>
      </c>
      <c r="F98" s="1" t="s">
        <v>341</v>
      </c>
      <c r="G98" s="149">
        <f>+'[2]ALDULTO MAYOR DISCAPACIDAD'!S25</f>
        <v>120</v>
      </c>
      <c r="H98" s="149">
        <v>-100</v>
      </c>
      <c r="I98" s="250">
        <f t="shared" ref="I98:I124" si="4">+G98+H98</f>
        <v>20</v>
      </c>
      <c r="J98" s="152"/>
      <c r="K98" s="152"/>
      <c r="L98" s="152"/>
      <c r="M98" s="152"/>
      <c r="N98" s="152"/>
      <c r="O98" s="152"/>
      <c r="P98" s="1"/>
      <c r="Q98" s="1"/>
    </row>
    <row r="99" spans="1:17" ht="18" customHeight="1" x14ac:dyDescent="0.25">
      <c r="A99" s="146"/>
      <c r="B99" s="251"/>
      <c r="C99" s="254"/>
      <c r="D99" s="75"/>
      <c r="E99" s="276">
        <v>221730201</v>
      </c>
      <c r="F99" s="199" t="s">
        <v>19</v>
      </c>
      <c r="G99" s="149">
        <v>1000</v>
      </c>
      <c r="H99" s="149"/>
      <c r="I99" s="250">
        <f t="shared" si="4"/>
        <v>1000</v>
      </c>
      <c r="J99" s="152"/>
      <c r="K99" s="152"/>
      <c r="L99" s="152"/>
      <c r="M99" s="152"/>
      <c r="N99" s="152"/>
      <c r="O99" s="152"/>
      <c r="P99" s="1"/>
      <c r="Q99" s="1"/>
    </row>
    <row r="100" spans="1:17" ht="18" customHeight="1" x14ac:dyDescent="0.25">
      <c r="A100" s="146"/>
      <c r="B100" s="251"/>
      <c r="C100" s="147" t="s">
        <v>371</v>
      </c>
      <c r="D100" s="75"/>
      <c r="E100" s="148" t="s">
        <v>372</v>
      </c>
      <c r="F100" s="1" t="s">
        <v>20</v>
      </c>
      <c r="G100" s="149">
        <v>66300</v>
      </c>
      <c r="H100" s="149"/>
      <c r="I100" s="250">
        <f t="shared" si="4"/>
        <v>66300</v>
      </c>
      <c r="J100" s="152"/>
      <c r="K100" s="152"/>
      <c r="L100" s="152"/>
      <c r="M100" s="152"/>
      <c r="N100" s="152"/>
      <c r="O100" s="152"/>
      <c r="P100" s="1"/>
      <c r="Q100" s="1"/>
    </row>
    <row r="101" spans="1:17" ht="18" customHeight="1" x14ac:dyDescent="0.25">
      <c r="A101" s="146"/>
      <c r="B101" s="251"/>
      <c r="C101" s="147"/>
      <c r="D101" s="75"/>
      <c r="E101" s="148">
        <v>221.71020300000001</v>
      </c>
      <c r="F101" s="1" t="s">
        <v>162</v>
      </c>
      <c r="G101" s="149">
        <v>7123</v>
      </c>
      <c r="H101" s="149">
        <v>-5000</v>
      </c>
      <c r="I101" s="250">
        <f t="shared" si="4"/>
        <v>2123</v>
      </c>
      <c r="J101" s="152"/>
      <c r="K101" s="152"/>
      <c r="L101" s="152"/>
      <c r="M101" s="152"/>
      <c r="N101" s="152"/>
      <c r="O101" s="152"/>
      <c r="P101" s="1"/>
      <c r="Q101" s="1"/>
    </row>
    <row r="102" spans="1:17" ht="18" customHeight="1" x14ac:dyDescent="0.25">
      <c r="A102" s="146"/>
      <c r="B102" s="251"/>
      <c r="C102" s="147"/>
      <c r="D102" s="75"/>
      <c r="E102" s="148">
        <v>221710204</v>
      </c>
      <c r="F102" s="1" t="s">
        <v>163</v>
      </c>
      <c r="G102" s="149">
        <v>3825</v>
      </c>
      <c r="H102" s="149"/>
      <c r="I102" s="250">
        <f t="shared" si="4"/>
        <v>3825</v>
      </c>
      <c r="J102" s="152"/>
      <c r="K102" s="152"/>
      <c r="L102" s="152"/>
      <c r="M102" s="152"/>
      <c r="N102" s="152"/>
      <c r="O102" s="152"/>
      <c r="P102" s="1"/>
      <c r="Q102" s="1"/>
    </row>
    <row r="103" spans="1:17" ht="18" customHeight="1" x14ac:dyDescent="0.25">
      <c r="A103" s="146"/>
      <c r="B103" s="251"/>
      <c r="C103" s="147"/>
      <c r="D103" s="75"/>
      <c r="E103" s="148" t="s">
        <v>304</v>
      </c>
      <c r="F103" s="1" t="s">
        <v>86</v>
      </c>
      <c r="G103" s="149">
        <v>9957.9539999999997</v>
      </c>
      <c r="H103" s="149">
        <v>4000</v>
      </c>
      <c r="I103" s="250">
        <f t="shared" si="4"/>
        <v>13957.954</v>
      </c>
      <c r="J103" s="152"/>
      <c r="K103" s="152"/>
      <c r="L103" s="152"/>
      <c r="M103" s="152"/>
      <c r="N103" s="152"/>
      <c r="O103" s="152"/>
      <c r="P103" s="1"/>
      <c r="Q103" s="1"/>
    </row>
    <row r="104" spans="1:17" ht="18" customHeight="1" x14ac:dyDescent="0.25">
      <c r="A104" s="146"/>
      <c r="B104" s="251"/>
      <c r="C104" s="147"/>
      <c r="D104" s="75"/>
      <c r="E104" s="148" t="s">
        <v>305</v>
      </c>
      <c r="F104" s="1" t="s">
        <v>128</v>
      </c>
      <c r="G104" s="149">
        <v>7123</v>
      </c>
      <c r="H104" s="149">
        <v>-5000</v>
      </c>
      <c r="I104" s="250">
        <f t="shared" si="4"/>
        <v>2123</v>
      </c>
      <c r="J104" s="152"/>
      <c r="K104" s="152"/>
      <c r="L104" s="152"/>
      <c r="M104" s="152"/>
      <c r="N104" s="152"/>
      <c r="O104" s="152"/>
      <c r="P104" s="1"/>
      <c r="Q104" s="1"/>
    </row>
    <row r="105" spans="1:17" ht="18" customHeight="1" x14ac:dyDescent="0.25">
      <c r="A105" s="146"/>
      <c r="B105" s="251"/>
      <c r="C105" s="147"/>
      <c r="D105" s="75"/>
      <c r="E105" s="148" t="s">
        <v>331</v>
      </c>
      <c r="F105" s="1" t="s">
        <v>332</v>
      </c>
      <c r="G105" s="149">
        <v>200</v>
      </c>
      <c r="H105" s="149"/>
      <c r="I105" s="250">
        <f t="shared" si="4"/>
        <v>200</v>
      </c>
      <c r="J105" s="152"/>
      <c r="K105" s="151"/>
      <c r="L105" s="152"/>
      <c r="M105" s="152"/>
      <c r="N105" s="152"/>
      <c r="O105" s="152"/>
      <c r="P105" s="1"/>
      <c r="Q105" s="1"/>
    </row>
    <row r="106" spans="1:17" ht="18" customHeight="1" x14ac:dyDescent="0.25">
      <c r="A106" s="146"/>
      <c r="B106" s="251"/>
      <c r="C106" s="147"/>
      <c r="D106" s="75"/>
      <c r="E106" s="260" t="s">
        <v>373</v>
      </c>
      <c r="F106" s="278" t="s">
        <v>300</v>
      </c>
      <c r="G106" s="149"/>
      <c r="H106" s="149">
        <v>300</v>
      </c>
      <c r="I106" s="250">
        <f t="shared" si="4"/>
        <v>300</v>
      </c>
      <c r="J106" s="152"/>
      <c r="K106" s="151"/>
      <c r="L106" s="152"/>
      <c r="M106" s="152"/>
      <c r="N106" s="152"/>
      <c r="O106" s="152"/>
      <c r="P106" s="1"/>
      <c r="Q106" s="1"/>
    </row>
    <row r="107" spans="1:17" ht="18" customHeight="1" x14ac:dyDescent="0.25">
      <c r="A107" s="146"/>
      <c r="B107" s="251"/>
      <c r="C107" s="147"/>
      <c r="D107" s="75"/>
      <c r="E107" s="148" t="s">
        <v>374</v>
      </c>
      <c r="F107" s="4" t="s">
        <v>284</v>
      </c>
      <c r="G107" s="149"/>
      <c r="H107" s="149">
        <v>500</v>
      </c>
      <c r="I107" s="250">
        <f t="shared" si="4"/>
        <v>500</v>
      </c>
      <c r="J107" s="152"/>
      <c r="K107" s="151"/>
      <c r="L107" s="152"/>
      <c r="M107" s="152"/>
      <c r="N107" s="152"/>
      <c r="O107" s="152"/>
      <c r="P107" s="1"/>
      <c r="Q107" s="1"/>
    </row>
    <row r="108" spans="1:17" ht="18" customHeight="1" x14ac:dyDescent="0.25">
      <c r="A108" s="146"/>
      <c r="B108" s="251"/>
      <c r="C108" s="147"/>
      <c r="D108" s="75"/>
      <c r="E108" s="148" t="s">
        <v>375</v>
      </c>
      <c r="F108" s="4" t="s">
        <v>376</v>
      </c>
      <c r="G108" s="149"/>
      <c r="H108" s="149">
        <v>230</v>
      </c>
      <c r="I108" s="250">
        <f t="shared" si="4"/>
        <v>230</v>
      </c>
      <c r="J108" s="152"/>
      <c r="K108" s="151"/>
      <c r="L108" s="152"/>
      <c r="M108" s="152"/>
      <c r="N108" s="152"/>
      <c r="O108" s="152"/>
      <c r="P108" s="1"/>
      <c r="Q108" s="1"/>
    </row>
    <row r="109" spans="1:17" ht="18" customHeight="1" x14ac:dyDescent="0.25">
      <c r="A109" s="146"/>
      <c r="B109" s="251"/>
      <c r="C109" s="147"/>
      <c r="D109" s="75"/>
      <c r="E109" s="148" t="s">
        <v>377</v>
      </c>
      <c r="F109" s="1" t="s">
        <v>378</v>
      </c>
      <c r="G109" s="149">
        <f>+'[1]CENTRO GERONTOLÓGICO '!T35</f>
        <v>54416.396344444445</v>
      </c>
      <c r="H109" s="149">
        <f>18724+7000</f>
        <v>25724</v>
      </c>
      <c r="I109" s="250">
        <f t="shared" si="4"/>
        <v>80140.396344444453</v>
      </c>
      <c r="J109" s="279"/>
      <c r="K109" s="152"/>
      <c r="L109" s="152"/>
      <c r="M109" s="152"/>
      <c r="N109" s="269"/>
      <c r="O109" s="152"/>
      <c r="P109" s="1"/>
      <c r="Q109" s="1"/>
    </row>
    <row r="110" spans="1:17" ht="18" customHeight="1" x14ac:dyDescent="0.25">
      <c r="A110" s="146"/>
      <c r="B110" s="251"/>
      <c r="C110" s="147"/>
      <c r="D110" s="75"/>
      <c r="E110" s="148" t="s">
        <v>296</v>
      </c>
      <c r="F110" s="1" t="s">
        <v>379</v>
      </c>
      <c r="G110" s="149">
        <v>13900.12</v>
      </c>
      <c r="H110" s="149">
        <v>-13900</v>
      </c>
      <c r="I110" s="149">
        <f t="shared" si="4"/>
        <v>0.12000000000080036</v>
      </c>
      <c r="J110" s="279"/>
      <c r="K110" s="152"/>
      <c r="L110" s="152"/>
      <c r="M110" s="152"/>
      <c r="N110" s="152"/>
      <c r="O110" s="152"/>
      <c r="P110" s="1"/>
      <c r="Q110" s="1"/>
    </row>
    <row r="111" spans="1:17" ht="18" customHeight="1" x14ac:dyDescent="0.25">
      <c r="A111" s="146"/>
      <c r="B111" s="251"/>
      <c r="C111" s="147"/>
      <c r="D111" s="75"/>
      <c r="E111" s="260" t="s">
        <v>380</v>
      </c>
      <c r="F111" s="278" t="s">
        <v>298</v>
      </c>
      <c r="G111" s="149"/>
      <c r="H111" s="149">
        <v>4500</v>
      </c>
      <c r="I111" s="250">
        <f t="shared" si="4"/>
        <v>4500</v>
      </c>
      <c r="J111" s="279"/>
      <c r="K111" s="152"/>
      <c r="L111" s="152"/>
      <c r="M111" s="152"/>
      <c r="N111" s="152"/>
      <c r="O111" s="152"/>
      <c r="P111" s="1"/>
      <c r="Q111" s="1"/>
    </row>
    <row r="112" spans="1:17" ht="18" customHeight="1" x14ac:dyDescent="0.25">
      <c r="A112" s="146"/>
      <c r="B112" s="251"/>
      <c r="C112" s="147"/>
      <c r="D112" s="75"/>
      <c r="E112" s="148" t="s">
        <v>381</v>
      </c>
      <c r="F112" s="1" t="s">
        <v>382</v>
      </c>
      <c r="G112" s="149">
        <f>+'[2]ADULTOS MAYORES'!R23</f>
        <v>603.91999999999996</v>
      </c>
      <c r="H112" s="149"/>
      <c r="I112" s="250">
        <f t="shared" si="4"/>
        <v>603.91999999999996</v>
      </c>
      <c r="J112" s="152"/>
      <c r="K112" s="152"/>
      <c r="L112" s="152"/>
      <c r="M112" s="152"/>
      <c r="N112" s="152"/>
      <c r="O112" s="152"/>
      <c r="P112" s="1"/>
      <c r="Q112" s="1"/>
    </row>
    <row r="113" spans="1:17" ht="18" customHeight="1" x14ac:dyDescent="0.25">
      <c r="A113" s="146"/>
      <c r="B113" s="251"/>
      <c r="C113" s="147"/>
      <c r="D113" s="75"/>
      <c r="E113" s="148" t="s">
        <v>381</v>
      </c>
      <c r="F113" s="1" t="s">
        <v>383</v>
      </c>
      <c r="G113" s="149">
        <f>+'[2]ADULTOS MAYORES'!S24</f>
        <v>2500</v>
      </c>
      <c r="H113" s="149"/>
      <c r="I113" s="250">
        <f t="shared" si="4"/>
        <v>2500</v>
      </c>
      <c r="J113" s="152"/>
      <c r="K113" s="152"/>
      <c r="L113" s="152"/>
      <c r="M113" s="152"/>
      <c r="N113" s="152"/>
      <c r="O113" s="152"/>
      <c r="P113" s="1"/>
      <c r="Q113" s="1"/>
    </row>
    <row r="114" spans="1:17" ht="18" customHeight="1" x14ac:dyDescent="0.25">
      <c r="A114" s="146"/>
      <c r="B114" s="251"/>
      <c r="C114" s="147"/>
      <c r="D114" s="75"/>
      <c r="E114" s="148" t="s">
        <v>306</v>
      </c>
      <c r="F114" s="1" t="s">
        <v>384</v>
      </c>
      <c r="G114" s="149">
        <v>1600</v>
      </c>
      <c r="H114" s="149">
        <f>-700-900</f>
        <v>-1600</v>
      </c>
      <c r="I114" s="250">
        <f t="shared" si="4"/>
        <v>0</v>
      </c>
      <c r="J114" s="152"/>
      <c r="K114" s="152"/>
      <c r="L114" s="152"/>
      <c r="M114" s="152"/>
      <c r="N114" s="152"/>
      <c r="O114" s="152"/>
      <c r="P114" s="1"/>
      <c r="Q114" s="1"/>
    </row>
    <row r="115" spans="1:17" ht="18" customHeight="1" x14ac:dyDescent="0.25">
      <c r="A115" s="146"/>
      <c r="B115" s="251"/>
      <c r="C115" s="147"/>
      <c r="D115" s="75"/>
      <c r="E115" s="148" t="s">
        <v>385</v>
      </c>
      <c r="F115" s="152" t="s">
        <v>309</v>
      </c>
      <c r="G115" s="149">
        <v>451.8</v>
      </c>
      <c r="H115" s="149"/>
      <c r="I115" s="250">
        <f t="shared" si="4"/>
        <v>451.8</v>
      </c>
      <c r="J115" s="152"/>
      <c r="K115" s="152"/>
      <c r="L115" s="152"/>
      <c r="M115" s="152"/>
      <c r="N115" s="152"/>
      <c r="O115" s="152"/>
      <c r="P115" s="1"/>
      <c r="Q115" s="1"/>
    </row>
    <row r="116" spans="1:17" ht="18" customHeight="1" x14ac:dyDescent="0.25">
      <c r="A116" s="146"/>
      <c r="B116" s="251"/>
      <c r="C116" s="147"/>
      <c r="D116" s="75"/>
      <c r="E116" s="148" t="s">
        <v>386</v>
      </c>
      <c r="F116" s="1" t="s">
        <v>387</v>
      </c>
      <c r="G116" s="149">
        <f>+'[2]ADULTOS MAYORES'!S27</f>
        <v>2000</v>
      </c>
      <c r="H116" s="149"/>
      <c r="I116" s="250">
        <f t="shared" si="4"/>
        <v>2000</v>
      </c>
      <c r="J116" s="152"/>
      <c r="K116" s="152"/>
      <c r="L116" s="152"/>
      <c r="M116" s="152"/>
      <c r="N116" s="152"/>
      <c r="O116" s="152"/>
      <c r="P116" s="1"/>
      <c r="Q116" s="1"/>
    </row>
    <row r="117" spans="1:17" ht="18" customHeight="1" x14ac:dyDescent="0.25">
      <c r="A117" s="146"/>
      <c r="B117" s="251"/>
      <c r="C117" s="147"/>
      <c r="D117" s="75"/>
      <c r="E117" s="148" t="s">
        <v>340</v>
      </c>
      <c r="F117" s="1" t="s">
        <v>388</v>
      </c>
      <c r="G117" s="149">
        <f>+'[2]ADULTOS MAYORES'!S25</f>
        <v>2500</v>
      </c>
      <c r="H117" s="149">
        <f>-2500+2500</f>
        <v>0</v>
      </c>
      <c r="I117" s="250">
        <f t="shared" si="4"/>
        <v>2500</v>
      </c>
      <c r="J117" s="152"/>
      <c r="K117" s="152"/>
      <c r="L117" s="152"/>
      <c r="M117" s="152"/>
      <c r="N117" s="152"/>
      <c r="O117" s="152"/>
      <c r="P117" s="1"/>
      <c r="Q117" s="1"/>
    </row>
    <row r="118" spans="1:17" ht="18" customHeight="1" x14ac:dyDescent="0.25">
      <c r="A118" s="146"/>
      <c r="B118" s="251"/>
      <c r="C118" s="147"/>
      <c r="D118" s="75"/>
      <c r="E118" s="148" t="s">
        <v>340</v>
      </c>
      <c r="F118" s="1" t="s">
        <v>389</v>
      </c>
      <c r="G118" s="149">
        <v>1000</v>
      </c>
      <c r="H118" s="149">
        <f>-500+558.99</f>
        <v>58.990000000000009</v>
      </c>
      <c r="I118" s="250">
        <f t="shared" si="4"/>
        <v>1058.99</v>
      </c>
      <c r="J118" s="152"/>
      <c r="K118" s="152"/>
      <c r="L118" s="152"/>
      <c r="M118" s="152"/>
      <c r="N118" s="152"/>
      <c r="O118" s="152"/>
      <c r="P118" s="1"/>
      <c r="Q118" s="1"/>
    </row>
    <row r="119" spans="1:17" ht="18" customHeight="1" x14ac:dyDescent="0.25">
      <c r="A119" s="146"/>
      <c r="B119" s="251"/>
      <c r="C119" s="147"/>
      <c r="D119" s="75"/>
      <c r="E119" s="148">
        <v>221.73081099999999</v>
      </c>
      <c r="F119" s="1" t="s">
        <v>390</v>
      </c>
      <c r="G119" s="149">
        <f>+'[2]ADULTOS MAYORES'!S24</f>
        <v>2500</v>
      </c>
      <c r="H119" s="149">
        <v>-2500</v>
      </c>
      <c r="I119" s="250">
        <f t="shared" si="4"/>
        <v>0</v>
      </c>
      <c r="J119" s="152"/>
      <c r="K119" s="152"/>
      <c r="L119" s="152"/>
      <c r="M119" s="152"/>
      <c r="N119" s="152"/>
      <c r="O119" s="152"/>
      <c r="P119" s="1"/>
      <c r="Q119" s="1"/>
    </row>
    <row r="120" spans="1:17" ht="18" customHeight="1" x14ac:dyDescent="0.25">
      <c r="A120" s="146"/>
      <c r="B120" s="251"/>
      <c r="C120" s="147"/>
      <c r="D120" s="75"/>
      <c r="E120" s="276" t="s">
        <v>333</v>
      </c>
      <c r="F120" s="199" t="s">
        <v>19</v>
      </c>
      <c r="G120" s="149">
        <v>1500</v>
      </c>
      <c r="H120" s="149">
        <v>500</v>
      </c>
      <c r="I120" s="250">
        <f t="shared" si="4"/>
        <v>2000</v>
      </c>
      <c r="J120" s="152"/>
      <c r="K120" s="152"/>
      <c r="L120" s="152"/>
      <c r="M120" s="152"/>
      <c r="N120" s="152"/>
      <c r="O120" s="152"/>
      <c r="P120" s="1"/>
      <c r="Q120" s="1"/>
    </row>
    <row r="121" spans="1:17" ht="18" customHeight="1" x14ac:dyDescent="0.25">
      <c r="A121" s="146"/>
      <c r="B121" s="251"/>
      <c r="C121" s="147"/>
      <c r="D121" s="75"/>
      <c r="E121" s="276" t="s">
        <v>391</v>
      </c>
      <c r="F121" s="199" t="s">
        <v>392</v>
      </c>
      <c r="G121" s="149">
        <v>8470</v>
      </c>
      <c r="H121" s="149"/>
      <c r="I121" s="250">
        <f t="shared" si="4"/>
        <v>8470</v>
      </c>
      <c r="J121" s="152"/>
      <c r="K121" s="152"/>
      <c r="L121" s="152"/>
      <c r="M121" s="152"/>
      <c r="N121" s="152"/>
      <c r="O121" s="152"/>
      <c r="P121" s="1"/>
      <c r="Q121" s="1"/>
    </row>
    <row r="122" spans="1:17" ht="22.5" customHeight="1" x14ac:dyDescent="0.25">
      <c r="A122" s="146"/>
      <c r="B122" s="251"/>
      <c r="C122" s="147"/>
      <c r="D122" s="75"/>
      <c r="E122" s="276" t="s">
        <v>393</v>
      </c>
      <c r="F122" s="199" t="s">
        <v>394</v>
      </c>
      <c r="G122" s="149">
        <v>1160</v>
      </c>
      <c r="H122" s="149"/>
      <c r="I122" s="250">
        <f t="shared" si="4"/>
        <v>1160</v>
      </c>
      <c r="J122" s="152"/>
      <c r="K122" s="152"/>
      <c r="L122" s="152"/>
      <c r="M122" s="152"/>
      <c r="N122" s="152"/>
      <c r="O122" s="152"/>
      <c r="P122" s="1"/>
      <c r="Q122" s="1"/>
    </row>
    <row r="123" spans="1:17" ht="18" customHeight="1" x14ac:dyDescent="0.25">
      <c r="A123" s="146"/>
      <c r="B123" s="251"/>
      <c r="C123" s="147"/>
      <c r="D123" s="75"/>
      <c r="E123" s="276" t="s">
        <v>395</v>
      </c>
      <c r="F123" s="1" t="s">
        <v>396</v>
      </c>
      <c r="G123" s="149">
        <v>3148</v>
      </c>
      <c r="H123" s="149"/>
      <c r="I123" s="250">
        <f t="shared" si="4"/>
        <v>3148</v>
      </c>
      <c r="J123" s="152"/>
      <c r="K123" s="152"/>
      <c r="L123" s="152"/>
      <c r="M123" s="152"/>
      <c r="N123" s="152"/>
      <c r="O123" s="152"/>
      <c r="P123" s="1"/>
      <c r="Q123" s="1"/>
    </row>
    <row r="124" spans="1:17" ht="18" customHeight="1" x14ac:dyDescent="0.25">
      <c r="A124" s="146"/>
      <c r="B124" s="257"/>
      <c r="C124" s="147"/>
      <c r="D124" s="75"/>
      <c r="E124" s="148" t="s">
        <v>319</v>
      </c>
      <c r="F124" s="1" t="s">
        <v>320</v>
      </c>
      <c r="G124" s="149">
        <v>1000</v>
      </c>
      <c r="H124" s="149">
        <v>-1000</v>
      </c>
      <c r="I124" s="250">
        <f t="shared" si="4"/>
        <v>0</v>
      </c>
      <c r="J124" s="152"/>
      <c r="K124" s="152"/>
      <c r="L124" s="152"/>
      <c r="M124" s="152"/>
      <c r="N124" s="152"/>
      <c r="O124" s="152"/>
      <c r="P124" s="1"/>
      <c r="Q124" s="1"/>
    </row>
    <row r="125" spans="1:17" ht="18.75" x14ac:dyDescent="0.3">
      <c r="A125" s="166" t="s">
        <v>397</v>
      </c>
      <c r="B125" s="166"/>
      <c r="C125" s="166"/>
      <c r="D125" s="166"/>
      <c r="E125" s="166"/>
      <c r="F125" s="167"/>
      <c r="G125" s="280">
        <f>SUM(G26:G124)</f>
        <v>578968.61394444457</v>
      </c>
      <c r="H125" s="281">
        <f>SUM(H9:H124)</f>
        <v>-29130.720000000005</v>
      </c>
      <c r="I125" s="281">
        <f>SUM(I9:I124)</f>
        <v>718658.64994444465</v>
      </c>
      <c r="J125" s="162"/>
      <c r="K125" s="163"/>
      <c r="L125" s="163"/>
      <c r="M125" s="163"/>
      <c r="N125" s="163"/>
      <c r="O125" s="163"/>
      <c r="P125" s="164"/>
      <c r="Q125" s="280">
        <f>SUM(Q26:Q124)</f>
        <v>0</v>
      </c>
    </row>
    <row r="126" spans="1:17" ht="18.75" x14ac:dyDescent="0.3">
      <c r="A126" s="166"/>
      <c r="B126" s="166"/>
      <c r="C126" s="166"/>
      <c r="D126" s="166"/>
      <c r="E126" s="166"/>
      <c r="F126" s="167"/>
      <c r="G126" s="169"/>
      <c r="H126" s="282"/>
      <c r="I126" s="282"/>
      <c r="J126" s="162"/>
      <c r="K126" s="163"/>
      <c r="L126" s="163"/>
      <c r="M126" s="163"/>
      <c r="N126" s="163"/>
      <c r="O126" s="163"/>
      <c r="P126" s="164"/>
      <c r="Q126" s="168">
        <f>+Q25+Q125</f>
        <v>0</v>
      </c>
    </row>
    <row r="127" spans="1:17" x14ac:dyDescent="0.25">
      <c r="A127" s="170"/>
      <c r="B127" s="171"/>
      <c r="C127" s="171"/>
      <c r="E127" s="173"/>
      <c r="F127" s="174"/>
      <c r="G127" s="174"/>
      <c r="H127" s="174"/>
      <c r="I127" s="174"/>
      <c r="J127" s="174"/>
      <c r="K127" s="174"/>
      <c r="L127" s="174"/>
      <c r="M127" s="174"/>
      <c r="N127" s="174"/>
      <c r="O127" s="174"/>
    </row>
    <row r="128" spans="1:17" x14ac:dyDescent="0.25">
      <c r="A128" s="175"/>
      <c r="B128" s="176"/>
      <c r="C128" s="176"/>
      <c r="D128" s="177"/>
      <c r="E128" s="178"/>
      <c r="F128" s="175"/>
      <c r="G128" s="175"/>
      <c r="H128" s="175"/>
      <c r="I128" s="175"/>
      <c r="J128" s="175"/>
      <c r="K128" s="175"/>
      <c r="L128" s="175"/>
      <c r="M128" s="175"/>
      <c r="N128" s="175"/>
      <c r="O128" s="175"/>
    </row>
    <row r="129" spans="1:15" x14ac:dyDescent="0.25">
      <c r="A129" s="175"/>
      <c r="B129" s="176"/>
      <c r="C129" s="176"/>
      <c r="D129" s="177"/>
      <c r="E129" s="178"/>
      <c r="F129" s="175"/>
      <c r="G129" s="283"/>
      <c r="H129" s="283"/>
      <c r="I129" s="283"/>
      <c r="J129" s="175"/>
      <c r="K129" s="175"/>
      <c r="L129" s="175"/>
      <c r="M129" s="175"/>
      <c r="N129" s="175"/>
      <c r="O129" s="175"/>
    </row>
    <row r="130" spans="1:15" x14ac:dyDescent="0.25">
      <c r="A130" s="175"/>
      <c r="B130" s="176"/>
      <c r="C130" s="176"/>
      <c r="D130" s="177"/>
      <c r="E130" s="178"/>
      <c r="F130" s="175"/>
      <c r="J130" s="175"/>
      <c r="K130" s="175"/>
      <c r="L130" s="175"/>
      <c r="M130" s="175"/>
      <c r="N130" s="175"/>
      <c r="O130" s="175"/>
    </row>
    <row r="131" spans="1:15" x14ac:dyDescent="0.25">
      <c r="A131" s="175"/>
      <c r="B131" s="176"/>
      <c r="C131" s="176"/>
      <c r="D131" s="177"/>
      <c r="E131" s="178"/>
      <c r="F131" s="175"/>
      <c r="G131" s="175"/>
      <c r="H131" s="175"/>
      <c r="I131" s="175"/>
      <c r="J131" s="175"/>
      <c r="K131" s="175"/>
      <c r="L131" s="175"/>
      <c r="M131" s="175"/>
      <c r="N131" s="175"/>
      <c r="O131" s="175"/>
    </row>
    <row r="132" spans="1:15" x14ac:dyDescent="0.25">
      <c r="A132" s="175"/>
      <c r="B132" s="176"/>
      <c r="C132" s="176"/>
      <c r="D132" s="177"/>
      <c r="E132" s="178"/>
      <c r="F132" s="175"/>
      <c r="G132" s="175"/>
      <c r="H132" s="175"/>
      <c r="I132" s="175"/>
      <c r="J132" s="175"/>
      <c r="K132" s="175"/>
      <c r="L132" s="175"/>
      <c r="M132" s="175"/>
      <c r="N132" s="175"/>
      <c r="O132" s="175"/>
    </row>
    <row r="133" spans="1:15" x14ac:dyDescent="0.25">
      <c r="A133" s="175"/>
      <c r="B133" s="176"/>
      <c r="C133" s="176"/>
      <c r="D133" s="177"/>
      <c r="E133" s="178"/>
      <c r="F133" s="175"/>
      <c r="G133" s="175"/>
      <c r="H133" s="175"/>
      <c r="I133" s="175"/>
      <c r="J133" s="175"/>
      <c r="K133" s="175"/>
      <c r="L133" s="175"/>
      <c r="M133" s="175"/>
      <c r="N133" s="175"/>
      <c r="O133" s="175"/>
    </row>
    <row r="134" spans="1:15" x14ac:dyDescent="0.25">
      <c r="A134" s="175"/>
      <c r="B134" s="176"/>
      <c r="C134" s="176"/>
      <c r="D134" s="177"/>
      <c r="E134" s="178"/>
      <c r="F134" s="175"/>
      <c r="G134" s="175"/>
      <c r="H134" s="175"/>
      <c r="I134" s="175"/>
      <c r="J134" s="175"/>
      <c r="K134" s="175"/>
      <c r="L134" s="175"/>
      <c r="M134" s="175"/>
      <c r="N134" s="175"/>
      <c r="O134" s="175"/>
    </row>
    <row r="135" spans="1:15" x14ac:dyDescent="0.25">
      <c r="A135" s="175"/>
      <c r="B135" s="176"/>
      <c r="C135" s="176"/>
      <c r="D135" s="177"/>
      <c r="E135" s="178"/>
      <c r="F135" s="175"/>
      <c r="G135" s="175"/>
      <c r="H135" s="175"/>
      <c r="I135" s="175"/>
      <c r="J135" s="175"/>
      <c r="K135" s="175"/>
      <c r="L135" s="175"/>
      <c r="M135" s="175"/>
      <c r="N135" s="175"/>
      <c r="O135" s="175"/>
    </row>
    <row r="136" spans="1:15" x14ac:dyDescent="0.25">
      <c r="A136" s="175"/>
      <c r="B136" s="176"/>
      <c r="C136" s="176"/>
      <c r="D136" s="177"/>
      <c r="E136" s="178"/>
      <c r="F136" s="175"/>
      <c r="G136" s="175"/>
      <c r="H136" s="175"/>
      <c r="I136" s="175"/>
      <c r="J136" s="175"/>
      <c r="K136" s="175"/>
      <c r="L136" s="175"/>
      <c r="M136" s="175"/>
      <c r="N136" s="175"/>
      <c r="O136" s="175"/>
    </row>
    <row r="137" spans="1:15" x14ac:dyDescent="0.25">
      <c r="A137" s="175"/>
      <c r="B137" s="176"/>
      <c r="C137" s="176"/>
      <c r="D137" s="177"/>
      <c r="E137" s="178"/>
      <c r="F137" s="175"/>
      <c r="G137" s="175"/>
      <c r="H137" s="175"/>
      <c r="I137" s="175"/>
      <c r="J137" s="175"/>
      <c r="K137" s="175"/>
      <c r="L137" s="175"/>
      <c r="M137" s="175"/>
      <c r="N137" s="175"/>
      <c r="O137" s="175"/>
    </row>
    <row r="138" spans="1:15" x14ac:dyDescent="0.25">
      <c r="A138" s="175"/>
      <c r="B138" s="176"/>
      <c r="C138" s="176"/>
      <c r="D138" s="177"/>
      <c r="E138" s="178"/>
      <c r="F138" s="175"/>
      <c r="G138" s="175"/>
      <c r="H138" s="175"/>
      <c r="I138" s="175"/>
      <c r="J138" s="175"/>
      <c r="K138" s="175"/>
      <c r="L138" s="175"/>
      <c r="M138" s="175"/>
      <c r="N138" s="175"/>
      <c r="O138" s="175"/>
    </row>
    <row r="139" spans="1:15" x14ac:dyDescent="0.25">
      <c r="A139" s="175"/>
      <c r="B139" s="176"/>
      <c r="C139" s="176"/>
      <c r="D139" s="177"/>
      <c r="E139" s="178"/>
      <c r="F139" s="175"/>
      <c r="G139" s="175"/>
      <c r="H139" s="175"/>
      <c r="I139" s="175"/>
      <c r="J139" s="175"/>
      <c r="K139" s="175"/>
      <c r="L139" s="175"/>
      <c r="M139" s="175"/>
      <c r="N139" s="175"/>
      <c r="O139" s="175"/>
    </row>
    <row r="140" spans="1:15" x14ac:dyDescent="0.25">
      <c r="A140" s="175"/>
      <c r="B140" s="176"/>
      <c r="C140" s="176"/>
      <c r="D140" s="177"/>
      <c r="E140" s="178"/>
      <c r="F140" s="175"/>
      <c r="G140" s="175"/>
      <c r="H140" s="175"/>
      <c r="I140" s="175"/>
      <c r="J140" s="175"/>
      <c r="K140" s="175"/>
      <c r="L140" s="175"/>
      <c r="M140" s="175"/>
      <c r="N140" s="175"/>
      <c r="O140" s="175"/>
    </row>
    <row r="141" spans="1:15" x14ac:dyDescent="0.25">
      <c r="A141" s="175"/>
      <c r="B141" s="176"/>
      <c r="C141" s="176"/>
      <c r="D141" s="177"/>
      <c r="E141" s="178"/>
      <c r="F141" s="175"/>
      <c r="G141" s="175"/>
      <c r="H141" s="175"/>
      <c r="I141" s="175"/>
      <c r="J141" s="175"/>
      <c r="K141" s="175"/>
      <c r="L141" s="175"/>
      <c r="M141" s="175"/>
      <c r="N141" s="175"/>
      <c r="O141" s="175"/>
    </row>
    <row r="142" spans="1:15" x14ac:dyDescent="0.25">
      <c r="A142" s="175"/>
      <c r="B142" s="176"/>
      <c r="C142" s="176"/>
      <c r="D142" s="177"/>
      <c r="E142" s="178"/>
      <c r="F142" s="175"/>
      <c r="G142" s="175"/>
      <c r="H142" s="175"/>
      <c r="I142" s="175"/>
      <c r="J142" s="175"/>
      <c r="K142" s="175"/>
      <c r="L142" s="175"/>
      <c r="M142" s="175"/>
      <c r="N142" s="175"/>
      <c r="O142" s="175"/>
    </row>
  </sheetData>
  <mergeCells count="35">
    <mergeCell ref="D87:D99"/>
    <mergeCell ref="C100:C124"/>
    <mergeCell ref="D100:D124"/>
    <mergeCell ref="A125:F125"/>
    <mergeCell ref="J125:P125"/>
    <mergeCell ref="A126:F126"/>
    <mergeCell ref="J126:P126"/>
    <mergeCell ref="B26:B45"/>
    <mergeCell ref="C26:C30"/>
    <mergeCell ref="D26:D45"/>
    <mergeCell ref="C31:C45"/>
    <mergeCell ref="B46:B124"/>
    <mergeCell ref="C46:C61"/>
    <mergeCell ref="D46:D61"/>
    <mergeCell ref="C62:C86"/>
    <mergeCell ref="D62:D86"/>
    <mergeCell ref="C87:C99"/>
    <mergeCell ref="A6:G6"/>
    <mergeCell ref="J6:Q6"/>
    <mergeCell ref="J7:M7"/>
    <mergeCell ref="N7:Q7"/>
    <mergeCell ref="A9:A124"/>
    <mergeCell ref="B9:B24"/>
    <mergeCell ref="C9:C15"/>
    <mergeCell ref="D9:D24"/>
    <mergeCell ref="C16:C24"/>
    <mergeCell ref="J25:P25"/>
    <mergeCell ref="D1:F1"/>
    <mergeCell ref="J1:Q1"/>
    <mergeCell ref="A2:B3"/>
    <mergeCell ref="D2:Q2"/>
    <mergeCell ref="D3:Q3"/>
    <mergeCell ref="A4:B5"/>
    <mergeCell ref="D4:Q4"/>
    <mergeCell ref="D5:Q5"/>
  </mergeCells>
  <pageMargins left="0.7" right="0.7" top="0.75" bottom="0.75" header="0.3" footer="0.3"/>
  <pageSetup scale="67"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51FF-B7F1-401E-8A21-6F726998159E}">
  <sheetPr>
    <pageSetUpPr fitToPage="1"/>
  </sheetPr>
  <dimension ref="A1:T203"/>
  <sheetViews>
    <sheetView topLeftCell="A169" zoomScale="64" zoomScaleNormal="64" workbookViewId="0">
      <selection activeCell="L173" sqref="L173"/>
    </sheetView>
  </sheetViews>
  <sheetFormatPr baseColWidth="10" defaultColWidth="13" defaultRowHeight="11.25" x14ac:dyDescent="0.25"/>
  <cols>
    <col min="1" max="1" width="14.28515625" style="288" customWidth="1"/>
    <col min="2" max="2" width="28" style="288" customWidth="1"/>
    <col min="3" max="3" width="41.85546875" style="288" customWidth="1"/>
    <col min="4" max="4" width="30.7109375" style="288" customWidth="1"/>
    <col min="5" max="5" width="15" style="288" customWidth="1"/>
    <col min="6" max="6" width="46.28515625" style="462" customWidth="1"/>
    <col min="7" max="7" width="18.85546875" style="288" customWidth="1"/>
    <col min="8" max="8" width="12.140625" style="288" customWidth="1"/>
    <col min="9" max="9" width="16.5703125" style="288" customWidth="1"/>
    <col min="10" max="10" width="6.5703125" style="288" customWidth="1"/>
    <col min="11" max="12" width="5.85546875" style="288" customWidth="1"/>
    <col min="13" max="13" width="6.42578125" style="288" customWidth="1"/>
    <col min="14" max="14" width="12" style="288" customWidth="1"/>
    <col min="15" max="16" width="12.140625" style="288" customWidth="1"/>
    <col min="17" max="17" width="13.28515625" style="288" customWidth="1"/>
    <col min="18" max="16384" width="13" style="288"/>
  </cols>
  <sheetData>
    <row r="1" spans="1:17" ht="43.5" customHeight="1" x14ac:dyDescent="0.25">
      <c r="A1" s="284"/>
      <c r="B1" s="285"/>
      <c r="C1" s="285" t="s">
        <v>0</v>
      </c>
      <c r="D1" s="286" t="s">
        <v>398</v>
      </c>
      <c r="E1" s="286"/>
      <c r="F1" s="286"/>
      <c r="G1" s="285" t="s">
        <v>1</v>
      </c>
      <c r="H1" s="285"/>
      <c r="I1" s="285"/>
      <c r="J1" s="287" t="s">
        <v>399</v>
      </c>
      <c r="K1" s="287"/>
      <c r="L1" s="287"/>
      <c r="M1" s="287"/>
      <c r="N1" s="287"/>
      <c r="O1" s="287"/>
      <c r="P1" s="287"/>
      <c r="Q1" s="287"/>
    </row>
    <row r="2" spans="1:17" ht="21.75" customHeight="1" x14ac:dyDescent="0.25">
      <c r="A2" s="289" t="s">
        <v>400</v>
      </c>
      <c r="B2" s="289"/>
      <c r="C2" s="290" t="s">
        <v>401</v>
      </c>
      <c r="D2" s="291" t="s">
        <v>402</v>
      </c>
      <c r="E2" s="291"/>
      <c r="F2" s="291"/>
      <c r="G2" s="291"/>
      <c r="H2" s="291"/>
      <c r="I2" s="291"/>
      <c r="J2" s="291"/>
      <c r="K2" s="291"/>
      <c r="L2" s="291"/>
      <c r="M2" s="291"/>
      <c r="N2" s="291"/>
      <c r="O2" s="291"/>
      <c r="P2" s="291"/>
      <c r="Q2" s="291"/>
    </row>
    <row r="3" spans="1:17" ht="22.5" customHeight="1" x14ac:dyDescent="0.25">
      <c r="A3" s="289"/>
      <c r="B3" s="289"/>
      <c r="C3" s="290" t="s">
        <v>403</v>
      </c>
      <c r="D3" s="291" t="s">
        <v>404</v>
      </c>
      <c r="E3" s="291"/>
      <c r="F3" s="291"/>
      <c r="G3" s="291"/>
      <c r="H3" s="291"/>
      <c r="I3" s="291"/>
      <c r="J3" s="291"/>
      <c r="K3" s="291"/>
      <c r="L3" s="291"/>
      <c r="M3" s="291"/>
      <c r="N3" s="291"/>
      <c r="O3" s="291"/>
      <c r="P3" s="291"/>
      <c r="Q3" s="291"/>
    </row>
    <row r="4" spans="1:17" ht="26.25" customHeight="1" x14ac:dyDescent="0.25">
      <c r="A4" s="292" t="s">
        <v>92</v>
      </c>
      <c r="B4" s="292"/>
      <c r="C4" s="293" t="s">
        <v>8</v>
      </c>
      <c r="D4" s="294" t="s">
        <v>405</v>
      </c>
      <c r="E4" s="295"/>
      <c r="F4" s="295"/>
      <c r="G4" s="295"/>
      <c r="H4" s="295"/>
      <c r="I4" s="295"/>
      <c r="J4" s="295"/>
      <c r="K4" s="295"/>
      <c r="L4" s="295"/>
      <c r="M4" s="295"/>
      <c r="N4" s="295"/>
      <c r="O4" s="295"/>
      <c r="P4" s="295"/>
      <c r="Q4" s="296"/>
    </row>
    <row r="5" spans="1:17" ht="21" customHeight="1" x14ac:dyDescent="0.25">
      <c r="A5" s="292"/>
      <c r="B5" s="292"/>
      <c r="C5" s="293" t="s">
        <v>9</v>
      </c>
      <c r="D5" s="297" t="s">
        <v>406</v>
      </c>
      <c r="E5" s="298"/>
      <c r="F5" s="298"/>
      <c r="G5" s="298"/>
      <c r="H5" s="298"/>
      <c r="I5" s="298"/>
      <c r="J5" s="298"/>
      <c r="K5" s="298"/>
      <c r="L5" s="298"/>
      <c r="M5" s="298"/>
      <c r="N5" s="298"/>
      <c r="O5" s="298"/>
      <c r="P5" s="298"/>
      <c r="Q5" s="299"/>
    </row>
    <row r="6" spans="1:17" ht="15" customHeight="1" x14ac:dyDescent="0.25">
      <c r="A6" s="300" t="s">
        <v>2</v>
      </c>
      <c r="B6" s="301"/>
      <c r="C6" s="301"/>
      <c r="D6" s="301"/>
      <c r="E6" s="301"/>
      <c r="F6" s="301"/>
      <c r="G6" s="301"/>
      <c r="H6" s="301"/>
      <c r="I6" s="302"/>
      <c r="J6" s="300" t="s">
        <v>3</v>
      </c>
      <c r="K6" s="301"/>
      <c r="L6" s="301"/>
      <c r="M6" s="301"/>
      <c r="N6" s="301"/>
      <c r="O6" s="301"/>
      <c r="P6" s="301"/>
      <c r="Q6" s="302"/>
    </row>
    <row r="7" spans="1:17" ht="11.25" customHeight="1" x14ac:dyDescent="0.25">
      <c r="A7" s="303" t="s">
        <v>10</v>
      </c>
      <c r="B7" s="303" t="s">
        <v>11</v>
      </c>
      <c r="C7" s="303" t="s">
        <v>12</v>
      </c>
      <c r="D7" s="303" t="s">
        <v>94</v>
      </c>
      <c r="E7" s="304" t="s">
        <v>13</v>
      </c>
      <c r="F7" s="305" t="s">
        <v>14</v>
      </c>
      <c r="G7" s="306" t="s">
        <v>95</v>
      </c>
      <c r="H7" s="307" t="s">
        <v>121</v>
      </c>
      <c r="I7" s="308"/>
      <c r="J7" s="302" t="s">
        <v>4</v>
      </c>
      <c r="K7" s="309"/>
      <c r="L7" s="309"/>
      <c r="M7" s="309"/>
      <c r="N7" s="309" t="s">
        <v>5</v>
      </c>
      <c r="O7" s="309"/>
      <c r="P7" s="309"/>
      <c r="Q7" s="309"/>
    </row>
    <row r="8" spans="1:17" ht="12" x14ac:dyDescent="0.25">
      <c r="A8" s="310"/>
      <c r="B8" s="310"/>
      <c r="C8" s="310"/>
      <c r="D8" s="310"/>
      <c r="E8" s="311"/>
      <c r="F8" s="312"/>
      <c r="G8" s="313"/>
      <c r="H8" s="314" t="s">
        <v>122</v>
      </c>
      <c r="I8" s="314" t="s">
        <v>118</v>
      </c>
      <c r="J8" s="315" t="s">
        <v>15</v>
      </c>
      <c r="K8" s="315" t="s">
        <v>16</v>
      </c>
      <c r="L8" s="315" t="s">
        <v>17</v>
      </c>
      <c r="M8" s="315" t="s">
        <v>18</v>
      </c>
      <c r="N8" s="315" t="s">
        <v>15</v>
      </c>
      <c r="O8" s="315" t="s">
        <v>16</v>
      </c>
      <c r="P8" s="315" t="s">
        <v>17</v>
      </c>
      <c r="Q8" s="316" t="s">
        <v>18</v>
      </c>
    </row>
    <row r="9" spans="1:17" s="325" customFormat="1" ht="21" customHeight="1" x14ac:dyDescent="0.25">
      <c r="A9" s="317" t="s">
        <v>407</v>
      </c>
      <c r="B9" s="318" t="s">
        <v>408</v>
      </c>
      <c r="C9" s="318" t="s">
        <v>409</v>
      </c>
      <c r="D9" s="318" t="s">
        <v>410</v>
      </c>
      <c r="E9" s="319">
        <v>323.710105</v>
      </c>
      <c r="F9" s="320" t="s">
        <v>125</v>
      </c>
      <c r="G9" s="321">
        <v>15540</v>
      </c>
      <c r="H9" s="321"/>
      <c r="I9" s="321">
        <f t="shared" ref="I9:I15" si="0">+G9+H9</f>
        <v>15540</v>
      </c>
      <c r="J9" s="322">
        <v>0.33329999999999999</v>
      </c>
      <c r="K9" s="322">
        <v>0.33329999999999999</v>
      </c>
      <c r="L9" s="322">
        <v>0.33329999999999999</v>
      </c>
      <c r="M9" s="323">
        <f t="shared" ref="M9" si="1">SUM(J9:L9)</f>
        <v>0.99990000000000001</v>
      </c>
      <c r="N9" s="324">
        <f t="shared" ref="N9:N19" si="2">+G9*J9</f>
        <v>5179.482</v>
      </c>
      <c r="O9" s="324">
        <f t="shared" ref="O9:O19" si="3">+G9*K9</f>
        <v>5179.482</v>
      </c>
      <c r="P9" s="324">
        <f t="shared" ref="P9:P19" si="4">+G9*L9</f>
        <v>5179.482</v>
      </c>
      <c r="Q9" s="324">
        <f t="shared" ref="Q9:Q19" si="5">SUM(N9:P9)</f>
        <v>15538.446</v>
      </c>
    </row>
    <row r="10" spans="1:17" s="325" customFormat="1" ht="21" customHeight="1" x14ac:dyDescent="0.25">
      <c r="A10" s="317"/>
      <c r="B10" s="326"/>
      <c r="C10" s="326"/>
      <c r="D10" s="326"/>
      <c r="E10" s="319">
        <v>323.710106</v>
      </c>
      <c r="F10" s="320" t="s">
        <v>285</v>
      </c>
      <c r="G10" s="321">
        <v>73061.759999999995</v>
      </c>
      <c r="H10" s="321"/>
      <c r="I10" s="321">
        <f t="shared" si="0"/>
        <v>73061.759999999995</v>
      </c>
      <c r="J10" s="322">
        <v>0.33329999999999999</v>
      </c>
      <c r="K10" s="322">
        <v>0.33329999999999999</v>
      </c>
      <c r="L10" s="322">
        <v>0.33329999999999999</v>
      </c>
      <c r="M10" s="323">
        <f t="shared" ref="M10:M19" si="6">SUM(J10:L10)</f>
        <v>0.99990000000000001</v>
      </c>
      <c r="N10" s="324">
        <f t="shared" si="2"/>
        <v>24351.484607999999</v>
      </c>
      <c r="O10" s="324">
        <f t="shared" si="3"/>
        <v>24351.484607999999</v>
      </c>
      <c r="P10" s="324">
        <f t="shared" si="4"/>
        <v>24351.484607999999</v>
      </c>
      <c r="Q10" s="324">
        <f t="shared" si="5"/>
        <v>73054.453823999997</v>
      </c>
    </row>
    <row r="11" spans="1:17" s="325" customFormat="1" ht="21" customHeight="1" x14ac:dyDescent="0.25">
      <c r="A11" s="317"/>
      <c r="B11" s="326"/>
      <c r="C11" s="326"/>
      <c r="D11" s="326"/>
      <c r="E11" s="319">
        <v>323.71020299999998</v>
      </c>
      <c r="F11" s="320" t="s">
        <v>84</v>
      </c>
      <c r="G11" s="321">
        <v>7383.48</v>
      </c>
      <c r="H11" s="321"/>
      <c r="I11" s="321">
        <f t="shared" si="0"/>
        <v>7383.48</v>
      </c>
      <c r="J11" s="322">
        <v>0.33329999999999999</v>
      </c>
      <c r="K11" s="322">
        <v>0.33329999999999999</v>
      </c>
      <c r="L11" s="322">
        <v>0.33329999999999999</v>
      </c>
      <c r="M11" s="323">
        <f t="shared" si="6"/>
        <v>0.99990000000000001</v>
      </c>
      <c r="N11" s="324">
        <f t="shared" si="2"/>
        <v>2460.9138839999996</v>
      </c>
      <c r="O11" s="324">
        <f t="shared" si="3"/>
        <v>2460.9138839999996</v>
      </c>
      <c r="P11" s="324">
        <f t="shared" si="4"/>
        <v>2460.9138839999996</v>
      </c>
      <c r="Q11" s="324">
        <f t="shared" si="5"/>
        <v>7382.7416519999988</v>
      </c>
    </row>
    <row r="12" spans="1:17" s="325" customFormat="1" ht="21" customHeight="1" x14ac:dyDescent="0.25">
      <c r="A12" s="317"/>
      <c r="B12" s="326"/>
      <c r="C12" s="326"/>
      <c r="D12" s="326"/>
      <c r="E12" s="319">
        <v>323.71020399999998</v>
      </c>
      <c r="F12" s="320" t="s">
        <v>127</v>
      </c>
      <c r="G12" s="321">
        <v>7225</v>
      </c>
      <c r="H12" s="321"/>
      <c r="I12" s="321">
        <f t="shared" si="0"/>
        <v>7225</v>
      </c>
      <c r="J12" s="322">
        <v>0.33329999999999999</v>
      </c>
      <c r="K12" s="322">
        <v>0.33329999999999999</v>
      </c>
      <c r="L12" s="322">
        <v>0.33329999999999999</v>
      </c>
      <c r="M12" s="323">
        <f t="shared" si="6"/>
        <v>0.99990000000000001</v>
      </c>
      <c r="N12" s="324">
        <f t="shared" si="2"/>
        <v>2408.0924999999997</v>
      </c>
      <c r="O12" s="324">
        <f t="shared" si="3"/>
        <v>2408.0924999999997</v>
      </c>
      <c r="P12" s="324">
        <f t="shared" si="4"/>
        <v>2408.0924999999997</v>
      </c>
      <c r="Q12" s="324">
        <f t="shared" si="5"/>
        <v>7224.2774999999992</v>
      </c>
    </row>
    <row r="13" spans="1:17" s="325" customFormat="1" ht="21" customHeight="1" x14ac:dyDescent="0.25">
      <c r="A13" s="317"/>
      <c r="B13" s="326"/>
      <c r="C13" s="326"/>
      <c r="D13" s="326"/>
      <c r="E13" s="319">
        <v>323.710601</v>
      </c>
      <c r="F13" s="320" t="s">
        <v>87</v>
      </c>
      <c r="G13" s="321">
        <v>7383.48</v>
      </c>
      <c r="H13" s="321"/>
      <c r="I13" s="321">
        <f t="shared" si="0"/>
        <v>7383.48</v>
      </c>
      <c r="J13" s="322">
        <v>0.33329999999999999</v>
      </c>
      <c r="K13" s="322">
        <v>0.33329999999999999</v>
      </c>
      <c r="L13" s="322">
        <v>0.33329999999999999</v>
      </c>
      <c r="M13" s="323">
        <f t="shared" si="6"/>
        <v>0.99990000000000001</v>
      </c>
      <c r="N13" s="324">
        <f t="shared" si="2"/>
        <v>2460.9138839999996</v>
      </c>
      <c r="O13" s="324">
        <f t="shared" si="3"/>
        <v>2460.9138839999996</v>
      </c>
      <c r="P13" s="324">
        <f t="shared" si="4"/>
        <v>2460.9138839999996</v>
      </c>
      <c r="Q13" s="324">
        <f t="shared" si="5"/>
        <v>7382.7416519999988</v>
      </c>
    </row>
    <row r="14" spans="1:17" s="325" customFormat="1" ht="21" customHeight="1" x14ac:dyDescent="0.25">
      <c r="A14" s="317"/>
      <c r="B14" s="326"/>
      <c r="C14" s="326"/>
      <c r="D14" s="326"/>
      <c r="E14" s="319">
        <v>323.71060199999999</v>
      </c>
      <c r="F14" s="320" t="s">
        <v>86</v>
      </c>
      <c r="G14" s="321">
        <v>10943.13</v>
      </c>
      <c r="H14" s="321"/>
      <c r="I14" s="321">
        <f t="shared" si="0"/>
        <v>10943.13</v>
      </c>
      <c r="J14" s="322">
        <v>0.33329999999999999</v>
      </c>
      <c r="K14" s="322">
        <v>0.33329999999999999</v>
      </c>
      <c r="L14" s="322">
        <v>0.33329999999999999</v>
      </c>
      <c r="M14" s="323">
        <f t="shared" si="6"/>
        <v>0.99990000000000001</v>
      </c>
      <c r="N14" s="324">
        <f t="shared" si="2"/>
        <v>3647.3452289999996</v>
      </c>
      <c r="O14" s="324">
        <f t="shared" si="3"/>
        <v>3647.3452289999996</v>
      </c>
      <c r="P14" s="324">
        <f t="shared" si="4"/>
        <v>3647.3452289999996</v>
      </c>
      <c r="Q14" s="324">
        <f t="shared" si="5"/>
        <v>10942.035687</v>
      </c>
    </row>
    <row r="15" spans="1:17" s="325" customFormat="1" ht="21" customHeight="1" x14ac:dyDescent="0.25">
      <c r="A15" s="317"/>
      <c r="B15" s="326"/>
      <c r="C15" s="326"/>
      <c r="D15" s="326"/>
      <c r="E15" s="319">
        <v>323.71030400000001</v>
      </c>
      <c r="F15" s="320" t="s">
        <v>411</v>
      </c>
      <c r="G15" s="321">
        <v>1980</v>
      </c>
      <c r="H15" s="321"/>
      <c r="I15" s="321">
        <f t="shared" si="0"/>
        <v>1980</v>
      </c>
      <c r="J15" s="322">
        <v>0.33329999999999999</v>
      </c>
      <c r="K15" s="322">
        <v>0.33329999999999999</v>
      </c>
      <c r="L15" s="322">
        <v>0.33329999999999999</v>
      </c>
      <c r="M15" s="323">
        <f t="shared" si="6"/>
        <v>0.99990000000000001</v>
      </c>
      <c r="N15" s="324">
        <f t="shared" si="2"/>
        <v>659.93399999999997</v>
      </c>
      <c r="O15" s="324">
        <f t="shared" si="3"/>
        <v>659.93399999999997</v>
      </c>
      <c r="P15" s="324">
        <f t="shared" si="4"/>
        <v>659.93399999999997</v>
      </c>
      <c r="Q15" s="324">
        <f t="shared" si="5"/>
        <v>1979.8019999999999</v>
      </c>
    </row>
    <row r="16" spans="1:17" s="325" customFormat="1" ht="21" customHeight="1" x14ac:dyDescent="0.25">
      <c r="A16" s="317"/>
      <c r="B16" s="326"/>
      <c r="C16" s="326"/>
      <c r="D16" s="326"/>
      <c r="E16" s="319">
        <v>323.710306</v>
      </c>
      <c r="F16" s="320" t="s">
        <v>412</v>
      </c>
      <c r="G16" s="321">
        <v>11880</v>
      </c>
      <c r="H16" s="321">
        <v>-300</v>
      </c>
      <c r="I16" s="321">
        <f>+G16+H16</f>
        <v>11580</v>
      </c>
      <c r="J16" s="322">
        <v>0.33329999999999999</v>
      </c>
      <c r="K16" s="322">
        <v>0.33329999999999999</v>
      </c>
      <c r="L16" s="322">
        <v>0.33329999999999999</v>
      </c>
      <c r="M16" s="323">
        <f t="shared" si="6"/>
        <v>0.99990000000000001</v>
      </c>
      <c r="N16" s="324">
        <f t="shared" si="2"/>
        <v>3959.6039999999998</v>
      </c>
      <c r="O16" s="324">
        <f t="shared" si="3"/>
        <v>3959.6039999999998</v>
      </c>
      <c r="P16" s="324">
        <f t="shared" si="4"/>
        <v>3959.6039999999998</v>
      </c>
      <c r="Q16" s="324">
        <f t="shared" si="5"/>
        <v>11878.812</v>
      </c>
    </row>
    <row r="17" spans="1:18" s="325" customFormat="1" ht="21" customHeight="1" x14ac:dyDescent="0.25">
      <c r="A17" s="317"/>
      <c r="B17" s="326"/>
      <c r="C17" s="326"/>
      <c r="D17" s="326"/>
      <c r="E17" s="319">
        <v>323.71040099999999</v>
      </c>
      <c r="F17" s="320" t="s">
        <v>413</v>
      </c>
      <c r="G17" s="321">
        <v>1247.28</v>
      </c>
      <c r="H17" s="321"/>
      <c r="I17" s="321">
        <f t="shared" ref="I17:I80" si="7">+G17+H17</f>
        <v>1247.28</v>
      </c>
      <c r="J17" s="322">
        <v>0.33329999999999999</v>
      </c>
      <c r="K17" s="322">
        <v>0.33329999999999999</v>
      </c>
      <c r="L17" s="322">
        <v>0.33329999999999999</v>
      </c>
      <c r="M17" s="323">
        <f t="shared" si="6"/>
        <v>0.99990000000000001</v>
      </c>
      <c r="N17" s="324">
        <f t="shared" si="2"/>
        <v>415.71842399999997</v>
      </c>
      <c r="O17" s="324">
        <f t="shared" si="3"/>
        <v>415.71842399999997</v>
      </c>
      <c r="P17" s="324">
        <f t="shared" si="4"/>
        <v>415.71842399999997</v>
      </c>
      <c r="Q17" s="324">
        <f t="shared" si="5"/>
        <v>1247.155272</v>
      </c>
    </row>
    <row r="18" spans="1:18" s="325" customFormat="1" ht="21" customHeight="1" x14ac:dyDescent="0.25">
      <c r="A18" s="317"/>
      <c r="B18" s="326"/>
      <c r="C18" s="326"/>
      <c r="D18" s="326"/>
      <c r="E18" s="319">
        <v>323.71040199999999</v>
      </c>
      <c r="F18" s="320" t="s">
        <v>414</v>
      </c>
      <c r="G18" s="321">
        <v>256.32</v>
      </c>
      <c r="H18" s="321"/>
      <c r="I18" s="321">
        <f t="shared" si="7"/>
        <v>256.32</v>
      </c>
      <c r="J18" s="322">
        <v>0.33329999999999999</v>
      </c>
      <c r="K18" s="322">
        <v>0.33329999999999999</v>
      </c>
      <c r="L18" s="322">
        <v>0.33329999999999999</v>
      </c>
      <c r="M18" s="323">
        <f t="shared" si="6"/>
        <v>0.99990000000000001</v>
      </c>
      <c r="N18" s="324">
        <f t="shared" si="2"/>
        <v>85.431455999999997</v>
      </c>
      <c r="O18" s="324">
        <f t="shared" si="3"/>
        <v>85.431455999999997</v>
      </c>
      <c r="P18" s="324">
        <f t="shared" si="4"/>
        <v>85.431455999999997</v>
      </c>
      <c r="Q18" s="324">
        <f t="shared" si="5"/>
        <v>256.29436799999996</v>
      </c>
    </row>
    <row r="19" spans="1:18" s="325" customFormat="1" ht="21" customHeight="1" x14ac:dyDescent="0.25">
      <c r="A19" s="317"/>
      <c r="B19" s="326"/>
      <c r="C19" s="326"/>
      <c r="D19" s="326"/>
      <c r="E19" s="319">
        <v>323.71040799999997</v>
      </c>
      <c r="F19" s="320" t="s">
        <v>415</v>
      </c>
      <c r="G19" s="321">
        <v>1422.4</v>
      </c>
      <c r="H19" s="321"/>
      <c r="I19" s="321">
        <f t="shared" si="7"/>
        <v>1422.4</v>
      </c>
      <c r="J19" s="322">
        <v>0.33329999999999999</v>
      </c>
      <c r="K19" s="322">
        <v>0.33329999999999999</v>
      </c>
      <c r="L19" s="322">
        <v>0.33329999999999999</v>
      </c>
      <c r="M19" s="323">
        <f t="shared" si="6"/>
        <v>0.99990000000000001</v>
      </c>
      <c r="N19" s="324">
        <f t="shared" si="2"/>
        <v>474.08591999999999</v>
      </c>
      <c r="O19" s="324">
        <f t="shared" si="3"/>
        <v>474.08591999999999</v>
      </c>
      <c r="P19" s="324">
        <f t="shared" si="4"/>
        <v>474.08591999999999</v>
      </c>
      <c r="Q19" s="324">
        <f t="shared" si="5"/>
        <v>1422.25776</v>
      </c>
    </row>
    <row r="20" spans="1:18" s="325" customFormat="1" ht="21" customHeight="1" x14ac:dyDescent="0.25">
      <c r="A20" s="317"/>
      <c r="B20" s="326"/>
      <c r="C20" s="327"/>
      <c r="D20" s="327"/>
      <c r="E20" s="328">
        <v>323.710509</v>
      </c>
      <c r="F20" s="329" t="s">
        <v>243</v>
      </c>
      <c r="G20" s="321">
        <v>1000</v>
      </c>
      <c r="H20" s="321">
        <v>1500</v>
      </c>
      <c r="I20" s="321">
        <f t="shared" si="7"/>
        <v>2500</v>
      </c>
      <c r="J20" s="322">
        <v>0.33329999999999999</v>
      </c>
      <c r="K20" s="322">
        <v>0.33329999999999999</v>
      </c>
      <c r="L20" s="322">
        <v>0.33329999999999999</v>
      </c>
      <c r="M20" s="323">
        <f>SUM(J20:L20)</f>
        <v>0.99990000000000001</v>
      </c>
      <c r="N20" s="324">
        <f>+G20*J20</f>
        <v>333.3</v>
      </c>
      <c r="O20" s="324">
        <f>+G20*K20</f>
        <v>333.3</v>
      </c>
      <c r="P20" s="324">
        <f>+G20*L20</f>
        <v>333.3</v>
      </c>
      <c r="Q20" s="324">
        <f>SUM(N20:P20)</f>
        <v>999.90000000000009</v>
      </c>
    </row>
    <row r="21" spans="1:18" s="325" customFormat="1" ht="19.899999999999999" customHeight="1" x14ac:dyDescent="0.25">
      <c r="A21" s="317"/>
      <c r="B21" s="326"/>
      <c r="C21" s="330" t="s">
        <v>416</v>
      </c>
      <c r="D21" s="330" t="s">
        <v>417</v>
      </c>
      <c r="E21" s="331">
        <v>323.731515</v>
      </c>
      <c r="F21" s="332" t="s">
        <v>418</v>
      </c>
      <c r="G21" s="321">
        <v>1000</v>
      </c>
      <c r="H21" s="321"/>
      <c r="I21" s="321">
        <f t="shared" si="7"/>
        <v>1000</v>
      </c>
      <c r="J21" s="322">
        <v>1</v>
      </c>
      <c r="K21" s="322">
        <v>0</v>
      </c>
      <c r="L21" s="322">
        <v>0</v>
      </c>
      <c r="M21" s="323">
        <f t="shared" ref="M21:M62" si="8">SUM(J21:L21)</f>
        <v>1</v>
      </c>
      <c r="N21" s="324">
        <f t="shared" ref="N21:N62" si="9">+G21*J21</f>
        <v>1000</v>
      </c>
      <c r="O21" s="324">
        <f t="shared" ref="O21:O62" si="10">+G21*K21</f>
        <v>0</v>
      </c>
      <c r="P21" s="324">
        <f t="shared" ref="P21:P62" si="11">+G21*L21</f>
        <v>0</v>
      </c>
      <c r="Q21" s="324">
        <f t="shared" ref="Q21:Q62" si="12">SUM(N21:P21)</f>
        <v>1000</v>
      </c>
    </row>
    <row r="22" spans="1:18" s="325" customFormat="1" ht="19.899999999999999" customHeight="1" x14ac:dyDescent="0.25">
      <c r="A22" s="317"/>
      <c r="B22" s="326"/>
      <c r="C22" s="330"/>
      <c r="D22" s="330"/>
      <c r="E22" s="331">
        <v>323.73082299999999</v>
      </c>
      <c r="F22" s="332" t="s">
        <v>419</v>
      </c>
      <c r="G22" s="321">
        <v>100</v>
      </c>
      <c r="H22" s="321"/>
      <c r="I22" s="321">
        <f t="shared" si="7"/>
        <v>100</v>
      </c>
      <c r="J22" s="322">
        <v>1</v>
      </c>
      <c r="K22" s="322">
        <v>0</v>
      </c>
      <c r="L22" s="322">
        <v>0</v>
      </c>
      <c r="M22" s="323">
        <f t="shared" si="8"/>
        <v>1</v>
      </c>
      <c r="N22" s="324">
        <f t="shared" si="9"/>
        <v>100</v>
      </c>
      <c r="O22" s="324">
        <f t="shared" si="10"/>
        <v>0</v>
      </c>
      <c r="P22" s="324">
        <f t="shared" si="11"/>
        <v>0</v>
      </c>
      <c r="Q22" s="324">
        <f t="shared" si="12"/>
        <v>100</v>
      </c>
    </row>
    <row r="23" spans="1:18" s="325" customFormat="1" ht="19.899999999999999" customHeight="1" x14ac:dyDescent="0.25">
      <c r="A23" s="317"/>
      <c r="B23" s="326"/>
      <c r="C23" s="330"/>
      <c r="D23" s="330"/>
      <c r="E23" s="331">
        <v>323.73140599999999</v>
      </c>
      <c r="F23" s="332" t="s">
        <v>420</v>
      </c>
      <c r="G23" s="321">
        <v>100</v>
      </c>
      <c r="H23" s="321"/>
      <c r="I23" s="321">
        <f t="shared" si="7"/>
        <v>100</v>
      </c>
      <c r="J23" s="322">
        <v>1</v>
      </c>
      <c r="K23" s="322">
        <v>0</v>
      </c>
      <c r="L23" s="322">
        <v>0</v>
      </c>
      <c r="M23" s="323">
        <f t="shared" si="8"/>
        <v>1</v>
      </c>
      <c r="N23" s="324">
        <f t="shared" si="9"/>
        <v>100</v>
      </c>
      <c r="O23" s="324">
        <f t="shared" si="10"/>
        <v>0</v>
      </c>
      <c r="P23" s="324">
        <f t="shared" si="11"/>
        <v>0</v>
      </c>
      <c r="Q23" s="324">
        <f t="shared" si="12"/>
        <v>100</v>
      </c>
    </row>
    <row r="24" spans="1:18" s="325" customFormat="1" ht="19.899999999999999" customHeight="1" x14ac:dyDescent="0.25">
      <c r="A24" s="317"/>
      <c r="B24" s="326"/>
      <c r="C24" s="330"/>
      <c r="D24" s="330"/>
      <c r="E24" s="331">
        <v>323.73081400000001</v>
      </c>
      <c r="F24" s="332" t="s">
        <v>421</v>
      </c>
      <c r="G24" s="321">
        <v>200</v>
      </c>
      <c r="H24" s="321"/>
      <c r="I24" s="321">
        <f t="shared" si="7"/>
        <v>200</v>
      </c>
      <c r="J24" s="322">
        <v>1</v>
      </c>
      <c r="K24" s="322">
        <v>0</v>
      </c>
      <c r="L24" s="322">
        <v>0</v>
      </c>
      <c r="M24" s="323">
        <f t="shared" si="8"/>
        <v>1</v>
      </c>
      <c r="N24" s="324">
        <f t="shared" si="9"/>
        <v>200</v>
      </c>
      <c r="O24" s="324">
        <f t="shared" si="10"/>
        <v>0</v>
      </c>
      <c r="P24" s="324">
        <f t="shared" si="11"/>
        <v>0</v>
      </c>
      <c r="Q24" s="324">
        <f t="shared" si="12"/>
        <v>200</v>
      </c>
    </row>
    <row r="25" spans="1:18" s="325" customFormat="1" ht="36" x14ac:dyDescent="0.25">
      <c r="A25" s="317"/>
      <c r="B25" s="326"/>
      <c r="C25" s="333" t="s">
        <v>422</v>
      </c>
      <c r="D25" s="330" t="s">
        <v>423</v>
      </c>
      <c r="E25" s="331">
        <v>323.73080199999998</v>
      </c>
      <c r="F25" s="320" t="s">
        <v>424</v>
      </c>
      <c r="G25" s="321">
        <v>800</v>
      </c>
      <c r="H25" s="321"/>
      <c r="I25" s="321">
        <f t="shared" si="7"/>
        <v>800</v>
      </c>
      <c r="J25" s="322">
        <v>0</v>
      </c>
      <c r="K25" s="322">
        <v>1</v>
      </c>
      <c r="L25" s="322">
        <v>0</v>
      </c>
      <c r="M25" s="323">
        <f t="shared" si="8"/>
        <v>1</v>
      </c>
      <c r="N25" s="324">
        <f t="shared" si="9"/>
        <v>0</v>
      </c>
      <c r="O25" s="324">
        <f t="shared" si="10"/>
        <v>800</v>
      </c>
      <c r="P25" s="324">
        <f t="shared" si="11"/>
        <v>0</v>
      </c>
      <c r="Q25" s="324">
        <f t="shared" si="12"/>
        <v>800</v>
      </c>
    </row>
    <row r="26" spans="1:18" s="325" customFormat="1" ht="33.6" customHeight="1" x14ac:dyDescent="0.25">
      <c r="A26" s="317"/>
      <c r="B26" s="326"/>
      <c r="C26" s="333"/>
      <c r="D26" s="330"/>
      <c r="E26" s="331">
        <v>323.73082299999999</v>
      </c>
      <c r="F26" s="320" t="s">
        <v>425</v>
      </c>
      <c r="G26" s="321">
        <v>1000</v>
      </c>
      <c r="H26" s="321">
        <v>100</v>
      </c>
      <c r="I26" s="321">
        <f t="shared" si="7"/>
        <v>1100</v>
      </c>
      <c r="J26" s="322">
        <v>1</v>
      </c>
      <c r="K26" s="322">
        <v>0</v>
      </c>
      <c r="L26" s="322">
        <v>0</v>
      </c>
      <c r="M26" s="323">
        <f t="shared" si="8"/>
        <v>1</v>
      </c>
      <c r="N26" s="324">
        <f t="shared" si="9"/>
        <v>1000</v>
      </c>
      <c r="O26" s="324">
        <f t="shared" si="10"/>
        <v>0</v>
      </c>
      <c r="P26" s="324">
        <f t="shared" si="11"/>
        <v>0</v>
      </c>
      <c r="Q26" s="324">
        <f t="shared" si="12"/>
        <v>1000</v>
      </c>
    </row>
    <row r="27" spans="1:18" s="325" customFormat="1" ht="33.6" customHeight="1" x14ac:dyDescent="0.25">
      <c r="A27" s="317"/>
      <c r="B27" s="326"/>
      <c r="C27" s="333"/>
      <c r="D27" s="330"/>
      <c r="E27" s="331">
        <v>323.73081300000001</v>
      </c>
      <c r="F27" s="332" t="s">
        <v>33</v>
      </c>
      <c r="G27" s="321">
        <v>3000</v>
      </c>
      <c r="H27" s="321"/>
      <c r="I27" s="321">
        <f t="shared" si="7"/>
        <v>3000</v>
      </c>
      <c r="J27" s="322">
        <v>0</v>
      </c>
      <c r="K27" s="322">
        <v>1</v>
      </c>
      <c r="L27" s="322">
        <v>0</v>
      </c>
      <c r="M27" s="323">
        <v>0</v>
      </c>
      <c r="N27" s="324">
        <f t="shared" si="9"/>
        <v>0</v>
      </c>
      <c r="O27" s="324">
        <f t="shared" si="10"/>
        <v>3000</v>
      </c>
      <c r="P27" s="324">
        <f t="shared" si="11"/>
        <v>0</v>
      </c>
      <c r="Q27" s="324">
        <f t="shared" si="12"/>
        <v>3000</v>
      </c>
      <c r="R27" s="325" t="s">
        <v>426</v>
      </c>
    </row>
    <row r="28" spans="1:18" s="325" customFormat="1" ht="33.6" customHeight="1" x14ac:dyDescent="0.25">
      <c r="A28" s="317"/>
      <c r="B28" s="326"/>
      <c r="C28" s="333"/>
      <c r="D28" s="330"/>
      <c r="E28" s="331">
        <v>323.73080299999998</v>
      </c>
      <c r="F28" s="332" t="s">
        <v>427</v>
      </c>
      <c r="G28" s="321">
        <v>2000</v>
      </c>
      <c r="H28" s="321"/>
      <c r="I28" s="321">
        <f t="shared" si="7"/>
        <v>2000</v>
      </c>
      <c r="J28" s="322">
        <v>0.33329999999999999</v>
      </c>
      <c r="K28" s="322">
        <v>0.33329999999999999</v>
      </c>
      <c r="L28" s="322">
        <v>0.33329999999999999</v>
      </c>
      <c r="M28" s="323">
        <f t="shared" si="8"/>
        <v>0.99990000000000001</v>
      </c>
      <c r="N28" s="324">
        <f t="shared" si="9"/>
        <v>666.6</v>
      </c>
      <c r="O28" s="324">
        <f t="shared" si="10"/>
        <v>666.6</v>
      </c>
      <c r="P28" s="324">
        <f t="shared" si="11"/>
        <v>666.6</v>
      </c>
      <c r="Q28" s="324">
        <f t="shared" si="12"/>
        <v>1999.8000000000002</v>
      </c>
    </row>
    <row r="29" spans="1:18" ht="21.6" customHeight="1" x14ac:dyDescent="0.25">
      <c r="A29" s="317"/>
      <c r="B29" s="326"/>
      <c r="C29" s="333"/>
      <c r="D29" s="330"/>
      <c r="E29" s="328">
        <v>323.73140599999999</v>
      </c>
      <c r="F29" s="334" t="s">
        <v>420</v>
      </c>
      <c r="G29" s="335">
        <v>250</v>
      </c>
      <c r="H29" s="335"/>
      <c r="I29" s="321">
        <f t="shared" si="7"/>
        <v>250</v>
      </c>
      <c r="J29" s="322">
        <v>1</v>
      </c>
      <c r="K29" s="322">
        <v>0</v>
      </c>
      <c r="L29" s="322">
        <v>0</v>
      </c>
      <c r="M29" s="323">
        <f t="shared" si="8"/>
        <v>1</v>
      </c>
      <c r="N29" s="324">
        <f t="shared" si="9"/>
        <v>250</v>
      </c>
      <c r="O29" s="324">
        <f t="shared" si="10"/>
        <v>0</v>
      </c>
      <c r="P29" s="324">
        <f t="shared" si="11"/>
        <v>0</v>
      </c>
      <c r="Q29" s="324">
        <f t="shared" si="12"/>
        <v>250</v>
      </c>
    </row>
    <row r="30" spans="1:18" ht="21.6" customHeight="1" x14ac:dyDescent="0.25">
      <c r="A30" s="317"/>
      <c r="B30" s="326"/>
      <c r="C30" s="333"/>
      <c r="D30" s="330"/>
      <c r="E30" s="328">
        <v>323.73081100000002</v>
      </c>
      <c r="F30" s="329" t="s">
        <v>428</v>
      </c>
      <c r="G30" s="335">
        <v>4000</v>
      </c>
      <c r="H30" s="335">
        <v>-130</v>
      </c>
      <c r="I30" s="321">
        <f t="shared" si="7"/>
        <v>3870</v>
      </c>
      <c r="J30" s="322">
        <v>0.5</v>
      </c>
      <c r="K30" s="322">
        <v>0.5</v>
      </c>
      <c r="L30" s="322">
        <v>0</v>
      </c>
      <c r="M30" s="323">
        <f t="shared" si="8"/>
        <v>1</v>
      </c>
      <c r="N30" s="324">
        <f t="shared" si="9"/>
        <v>2000</v>
      </c>
      <c r="O30" s="324">
        <f t="shared" si="10"/>
        <v>2000</v>
      </c>
      <c r="P30" s="324">
        <f t="shared" si="11"/>
        <v>0</v>
      </c>
      <c r="Q30" s="324">
        <f t="shared" si="12"/>
        <v>4000</v>
      </c>
    </row>
    <row r="31" spans="1:18" s="325" customFormat="1" ht="19.149999999999999" customHeight="1" x14ac:dyDescent="0.25">
      <c r="A31" s="317"/>
      <c r="B31" s="326"/>
      <c r="C31" s="333" t="s">
        <v>429</v>
      </c>
      <c r="D31" s="333" t="s">
        <v>430</v>
      </c>
      <c r="E31" s="319">
        <v>323.73081300000001</v>
      </c>
      <c r="F31" s="320" t="s">
        <v>33</v>
      </c>
      <c r="G31" s="321">
        <v>200</v>
      </c>
      <c r="H31" s="321"/>
      <c r="I31" s="321">
        <f t="shared" si="7"/>
        <v>200</v>
      </c>
      <c r="J31" s="322">
        <v>1</v>
      </c>
      <c r="K31" s="322">
        <v>0</v>
      </c>
      <c r="L31" s="322">
        <v>0</v>
      </c>
      <c r="M31" s="323">
        <f t="shared" si="8"/>
        <v>1</v>
      </c>
      <c r="N31" s="324">
        <f t="shared" si="9"/>
        <v>200</v>
      </c>
      <c r="O31" s="324">
        <f t="shared" si="10"/>
        <v>0</v>
      </c>
      <c r="P31" s="324">
        <f t="shared" si="11"/>
        <v>0</v>
      </c>
      <c r="Q31" s="324">
        <f t="shared" si="12"/>
        <v>200</v>
      </c>
    </row>
    <row r="32" spans="1:18" s="325" customFormat="1" ht="19.149999999999999" customHeight="1" x14ac:dyDescent="0.25">
      <c r="A32" s="317"/>
      <c r="B32" s="326"/>
      <c r="C32" s="333"/>
      <c r="D32" s="333"/>
      <c r="E32" s="319">
        <v>323.73080499999998</v>
      </c>
      <c r="F32" s="320" t="s">
        <v>431</v>
      </c>
      <c r="G32" s="321">
        <v>100</v>
      </c>
      <c r="H32" s="321"/>
      <c r="I32" s="321">
        <f t="shared" si="7"/>
        <v>100</v>
      </c>
      <c r="J32" s="322">
        <v>1</v>
      </c>
      <c r="K32" s="322">
        <v>0</v>
      </c>
      <c r="L32" s="322">
        <v>0</v>
      </c>
      <c r="M32" s="323">
        <f t="shared" si="8"/>
        <v>1</v>
      </c>
      <c r="N32" s="324">
        <f t="shared" si="9"/>
        <v>100</v>
      </c>
      <c r="O32" s="324">
        <f t="shared" si="10"/>
        <v>0</v>
      </c>
      <c r="P32" s="324">
        <f t="shared" si="11"/>
        <v>0</v>
      </c>
      <c r="Q32" s="324">
        <f t="shared" si="12"/>
        <v>100</v>
      </c>
    </row>
    <row r="33" spans="1:17" s="325" customFormat="1" ht="36" x14ac:dyDescent="0.25">
      <c r="A33" s="317"/>
      <c r="B33" s="326"/>
      <c r="C33" s="333"/>
      <c r="D33" s="333"/>
      <c r="E33" s="331">
        <v>323.73080199999998</v>
      </c>
      <c r="F33" s="320" t="s">
        <v>424</v>
      </c>
      <c r="G33" s="321">
        <v>600</v>
      </c>
      <c r="H33" s="321"/>
      <c r="I33" s="321">
        <f t="shared" si="7"/>
        <v>600</v>
      </c>
      <c r="J33" s="322">
        <v>0</v>
      </c>
      <c r="K33" s="322">
        <v>1</v>
      </c>
      <c r="L33" s="322">
        <v>0</v>
      </c>
      <c r="M33" s="323">
        <f t="shared" si="8"/>
        <v>1</v>
      </c>
      <c r="N33" s="324">
        <f t="shared" si="9"/>
        <v>0</v>
      </c>
      <c r="O33" s="324">
        <f t="shared" si="10"/>
        <v>600</v>
      </c>
      <c r="P33" s="324">
        <f t="shared" si="11"/>
        <v>0</v>
      </c>
      <c r="Q33" s="324">
        <f t="shared" si="12"/>
        <v>600</v>
      </c>
    </row>
    <row r="34" spans="1:17" s="325" customFormat="1" ht="48.6" customHeight="1" x14ac:dyDescent="0.25">
      <c r="A34" s="317"/>
      <c r="B34" s="326"/>
      <c r="C34" s="336" t="s">
        <v>432</v>
      </c>
      <c r="D34" s="333" t="s">
        <v>433</v>
      </c>
      <c r="E34" s="328">
        <v>323.73080199999998</v>
      </c>
      <c r="F34" s="320" t="s">
        <v>424</v>
      </c>
      <c r="G34" s="321">
        <v>1300</v>
      </c>
      <c r="H34" s="321"/>
      <c r="I34" s="321">
        <f t="shared" si="7"/>
        <v>1300</v>
      </c>
      <c r="J34" s="322">
        <v>0</v>
      </c>
      <c r="K34" s="322">
        <v>1</v>
      </c>
      <c r="L34" s="322">
        <v>0</v>
      </c>
      <c r="M34" s="323">
        <f t="shared" si="8"/>
        <v>1</v>
      </c>
      <c r="N34" s="324">
        <f t="shared" si="9"/>
        <v>0</v>
      </c>
      <c r="O34" s="324">
        <f t="shared" si="10"/>
        <v>1300</v>
      </c>
      <c r="P34" s="324">
        <f t="shared" si="11"/>
        <v>0</v>
      </c>
      <c r="Q34" s="324">
        <f t="shared" si="12"/>
        <v>1300</v>
      </c>
    </row>
    <row r="35" spans="1:17" s="325" customFormat="1" ht="19.149999999999999" customHeight="1" x14ac:dyDescent="0.25">
      <c r="A35" s="317"/>
      <c r="B35" s="326"/>
      <c r="C35" s="336"/>
      <c r="D35" s="333"/>
      <c r="E35" s="328">
        <v>323.73080299999998</v>
      </c>
      <c r="F35" s="329" t="s">
        <v>434</v>
      </c>
      <c r="G35" s="321">
        <v>1000</v>
      </c>
      <c r="H35" s="321"/>
      <c r="I35" s="321">
        <f t="shared" si="7"/>
        <v>1000</v>
      </c>
      <c r="J35" s="322">
        <v>0.33329999999999999</v>
      </c>
      <c r="K35" s="322">
        <v>0.33329999999999999</v>
      </c>
      <c r="L35" s="322">
        <v>0.33329999999999999</v>
      </c>
      <c r="M35" s="323">
        <f t="shared" si="8"/>
        <v>0.99990000000000001</v>
      </c>
      <c r="N35" s="324">
        <f t="shared" si="9"/>
        <v>333.3</v>
      </c>
      <c r="O35" s="324">
        <f t="shared" si="10"/>
        <v>333.3</v>
      </c>
      <c r="P35" s="324">
        <f t="shared" si="11"/>
        <v>333.3</v>
      </c>
      <c r="Q35" s="324">
        <f t="shared" si="12"/>
        <v>999.90000000000009</v>
      </c>
    </row>
    <row r="36" spans="1:17" ht="20.25" customHeight="1" x14ac:dyDescent="0.25">
      <c r="A36" s="317"/>
      <c r="B36" s="326"/>
      <c r="C36" s="336"/>
      <c r="D36" s="333"/>
      <c r="E36" s="328">
        <v>323.73081100000002</v>
      </c>
      <c r="F36" s="334" t="s">
        <v>435</v>
      </c>
      <c r="G36" s="321">
        <v>1000</v>
      </c>
      <c r="H36" s="321"/>
      <c r="I36" s="321">
        <f t="shared" si="7"/>
        <v>1000</v>
      </c>
      <c r="J36" s="322">
        <v>0.5</v>
      </c>
      <c r="K36" s="322">
        <v>0.5</v>
      </c>
      <c r="L36" s="322">
        <v>0</v>
      </c>
      <c r="M36" s="323">
        <f t="shared" si="8"/>
        <v>1</v>
      </c>
      <c r="N36" s="324">
        <f t="shared" si="9"/>
        <v>500</v>
      </c>
      <c r="O36" s="324">
        <f t="shared" si="10"/>
        <v>500</v>
      </c>
      <c r="P36" s="324">
        <f t="shared" si="11"/>
        <v>0</v>
      </c>
      <c r="Q36" s="324">
        <f t="shared" si="12"/>
        <v>1000</v>
      </c>
    </row>
    <row r="37" spans="1:17" ht="42.75" customHeight="1" x14ac:dyDescent="0.25">
      <c r="A37" s="317"/>
      <c r="B37" s="327"/>
      <c r="C37" s="336"/>
      <c r="D37" s="333"/>
      <c r="E37" s="328">
        <v>323.73020100000002</v>
      </c>
      <c r="F37" s="334" t="s">
        <v>436</v>
      </c>
      <c r="G37" s="321">
        <v>300</v>
      </c>
      <c r="H37" s="321"/>
      <c r="I37" s="321">
        <f t="shared" si="7"/>
        <v>300</v>
      </c>
      <c r="J37" s="322">
        <v>0.33329999999999999</v>
      </c>
      <c r="K37" s="322">
        <v>0.33329999999999999</v>
      </c>
      <c r="L37" s="322">
        <v>0.33329999999999999</v>
      </c>
      <c r="M37" s="323">
        <f t="shared" si="8"/>
        <v>0.99990000000000001</v>
      </c>
      <c r="N37" s="324">
        <f t="shared" si="9"/>
        <v>99.99</v>
      </c>
      <c r="O37" s="324">
        <f t="shared" si="10"/>
        <v>99.99</v>
      </c>
      <c r="P37" s="324">
        <f t="shared" si="11"/>
        <v>99.99</v>
      </c>
      <c r="Q37" s="324">
        <f t="shared" si="12"/>
        <v>299.96999999999997</v>
      </c>
    </row>
    <row r="38" spans="1:17" ht="27" customHeight="1" x14ac:dyDescent="0.25">
      <c r="A38" s="337"/>
      <c r="B38" s="338"/>
      <c r="C38" s="339" t="s">
        <v>437</v>
      </c>
      <c r="D38" s="339"/>
      <c r="E38" s="339"/>
      <c r="F38" s="339"/>
      <c r="G38" s="340">
        <f>SUM(G9:G37)</f>
        <v>156272.84999999998</v>
      </c>
      <c r="H38" s="340"/>
      <c r="I38" s="340"/>
      <c r="J38" s="341"/>
      <c r="K38" s="341"/>
      <c r="L38" s="342"/>
      <c r="M38" s="343"/>
      <c r="N38" s="344"/>
      <c r="O38" s="344"/>
      <c r="P38" s="344"/>
      <c r="Q38" s="28"/>
    </row>
    <row r="39" spans="1:17" ht="18" customHeight="1" x14ac:dyDescent="0.25">
      <c r="A39" s="345" t="s">
        <v>438</v>
      </c>
      <c r="B39" s="346"/>
      <c r="C39" s="347" t="s">
        <v>439</v>
      </c>
      <c r="D39" s="348" t="s">
        <v>440</v>
      </c>
      <c r="E39" s="349">
        <v>324.710106</v>
      </c>
      <c r="F39" s="350" t="s">
        <v>285</v>
      </c>
      <c r="G39" s="351">
        <v>31104.720000000001</v>
      </c>
      <c r="H39" s="351"/>
      <c r="I39" s="351">
        <f t="shared" si="7"/>
        <v>31104.720000000001</v>
      </c>
      <c r="J39" s="352">
        <v>0.33329999999999999</v>
      </c>
      <c r="K39" s="352">
        <v>0.33329999999999999</v>
      </c>
      <c r="L39" s="352">
        <v>0.33329999999999999</v>
      </c>
      <c r="M39" s="353">
        <f t="shared" ref="M39:M53" si="13">SUM(J39:L39)</f>
        <v>0.99990000000000001</v>
      </c>
      <c r="N39" s="354">
        <f t="shared" ref="N39:N53" si="14">+G39*J39</f>
        <v>10367.203175999999</v>
      </c>
      <c r="O39" s="354">
        <f t="shared" ref="O39:O53" si="15">+G39*K39</f>
        <v>10367.203175999999</v>
      </c>
      <c r="P39" s="354">
        <f t="shared" ref="P39:P53" si="16">+G39*L39</f>
        <v>10367.203175999999</v>
      </c>
      <c r="Q39" s="354">
        <f t="shared" ref="Q39:Q53" si="17">SUM(N39:P39)</f>
        <v>31101.609527999997</v>
      </c>
    </row>
    <row r="40" spans="1:17" ht="18" customHeight="1" x14ac:dyDescent="0.25">
      <c r="A40" s="345"/>
      <c r="B40" s="355"/>
      <c r="C40" s="347"/>
      <c r="D40" s="356"/>
      <c r="E40" s="349">
        <v>324.71020299999998</v>
      </c>
      <c r="F40" s="357" t="s">
        <v>84</v>
      </c>
      <c r="G40" s="358">
        <v>2592.06</v>
      </c>
      <c r="H40" s="358"/>
      <c r="I40" s="351">
        <f t="shared" si="7"/>
        <v>2592.06</v>
      </c>
      <c r="J40" s="352">
        <v>0.33329999999999999</v>
      </c>
      <c r="K40" s="352">
        <v>0.33329999999999999</v>
      </c>
      <c r="L40" s="352">
        <v>0.33329999999999999</v>
      </c>
      <c r="M40" s="353">
        <f t="shared" si="13"/>
        <v>0.99990000000000001</v>
      </c>
      <c r="N40" s="354">
        <f t="shared" si="14"/>
        <v>863.93359799999996</v>
      </c>
      <c r="O40" s="354">
        <f t="shared" si="15"/>
        <v>863.93359799999996</v>
      </c>
      <c r="P40" s="354">
        <f t="shared" si="16"/>
        <v>863.93359799999996</v>
      </c>
      <c r="Q40" s="354">
        <f t="shared" si="17"/>
        <v>2591.8007939999998</v>
      </c>
    </row>
    <row r="41" spans="1:17" ht="18" customHeight="1" x14ac:dyDescent="0.25">
      <c r="A41" s="345"/>
      <c r="B41" s="355"/>
      <c r="C41" s="347"/>
      <c r="D41" s="356"/>
      <c r="E41" s="349">
        <v>324.71020399999998</v>
      </c>
      <c r="F41" s="357" t="s">
        <v>127</v>
      </c>
      <c r="G41" s="358">
        <v>2550</v>
      </c>
      <c r="H41" s="358"/>
      <c r="I41" s="351">
        <f t="shared" si="7"/>
        <v>2550</v>
      </c>
      <c r="J41" s="352">
        <v>0.33329999999999999</v>
      </c>
      <c r="K41" s="352">
        <v>0.33329999999999999</v>
      </c>
      <c r="L41" s="352">
        <v>0.33329999999999999</v>
      </c>
      <c r="M41" s="353">
        <f t="shared" si="13"/>
        <v>0.99990000000000001</v>
      </c>
      <c r="N41" s="354">
        <f t="shared" si="14"/>
        <v>849.91499999999996</v>
      </c>
      <c r="O41" s="354">
        <f t="shared" si="15"/>
        <v>849.91499999999996</v>
      </c>
      <c r="P41" s="354">
        <f t="shared" si="16"/>
        <v>849.91499999999996</v>
      </c>
      <c r="Q41" s="354">
        <f t="shared" si="17"/>
        <v>2549.7449999999999</v>
      </c>
    </row>
    <row r="42" spans="1:17" ht="18" customHeight="1" x14ac:dyDescent="0.25">
      <c r="A42" s="345"/>
      <c r="B42" s="355"/>
      <c r="C42" s="347"/>
      <c r="D42" s="356"/>
      <c r="E42" s="349">
        <v>324.710601</v>
      </c>
      <c r="F42" s="357" t="s">
        <v>87</v>
      </c>
      <c r="G42" s="358">
        <v>2592.06</v>
      </c>
      <c r="H42" s="358"/>
      <c r="I42" s="351">
        <f t="shared" si="7"/>
        <v>2592.06</v>
      </c>
      <c r="J42" s="352">
        <v>0.33329999999999999</v>
      </c>
      <c r="K42" s="352">
        <v>0.33329999999999999</v>
      </c>
      <c r="L42" s="352">
        <v>0.33329999999999999</v>
      </c>
      <c r="M42" s="353">
        <f t="shared" si="13"/>
        <v>0.99990000000000001</v>
      </c>
      <c r="N42" s="354">
        <f t="shared" si="14"/>
        <v>863.93359799999996</v>
      </c>
      <c r="O42" s="354">
        <f t="shared" si="15"/>
        <v>863.93359799999996</v>
      </c>
      <c r="P42" s="354">
        <f t="shared" si="16"/>
        <v>863.93359799999996</v>
      </c>
      <c r="Q42" s="354">
        <f t="shared" si="17"/>
        <v>2591.8007939999998</v>
      </c>
    </row>
    <row r="43" spans="1:17" ht="18" customHeight="1" x14ac:dyDescent="0.25">
      <c r="A43" s="345"/>
      <c r="B43" s="355"/>
      <c r="C43" s="347"/>
      <c r="D43" s="356"/>
      <c r="E43" s="349">
        <v>324.71060199999999</v>
      </c>
      <c r="F43" s="357" t="s">
        <v>86</v>
      </c>
      <c r="G43" s="358">
        <v>3888.09</v>
      </c>
      <c r="H43" s="358"/>
      <c r="I43" s="351">
        <f t="shared" si="7"/>
        <v>3888.09</v>
      </c>
      <c r="J43" s="352">
        <v>0.33329999999999999</v>
      </c>
      <c r="K43" s="352">
        <v>0.33329999999999999</v>
      </c>
      <c r="L43" s="352">
        <v>0.33329999999999999</v>
      </c>
      <c r="M43" s="353">
        <f t="shared" si="13"/>
        <v>0.99990000000000001</v>
      </c>
      <c r="N43" s="354">
        <f t="shared" si="14"/>
        <v>1295.9003969999999</v>
      </c>
      <c r="O43" s="354">
        <f t="shared" si="15"/>
        <v>1295.9003969999999</v>
      </c>
      <c r="P43" s="354">
        <f t="shared" si="16"/>
        <v>1295.9003969999999</v>
      </c>
      <c r="Q43" s="354">
        <f t="shared" si="17"/>
        <v>3887.7011909999997</v>
      </c>
    </row>
    <row r="44" spans="1:17" ht="18" customHeight="1" x14ac:dyDescent="0.25">
      <c r="A44" s="345"/>
      <c r="B44" s="355"/>
      <c r="C44" s="347"/>
      <c r="D44" s="356"/>
      <c r="E44" s="349">
        <v>324.71030400000001</v>
      </c>
      <c r="F44" s="357" t="s">
        <v>411</v>
      </c>
      <c r="G44" s="358">
        <v>528</v>
      </c>
      <c r="H44" s="358"/>
      <c r="I44" s="351">
        <f t="shared" si="7"/>
        <v>528</v>
      </c>
      <c r="J44" s="352">
        <v>0.33329999999999999</v>
      </c>
      <c r="K44" s="352">
        <v>0.33329999999999999</v>
      </c>
      <c r="L44" s="352">
        <v>0.33329999999999999</v>
      </c>
      <c r="M44" s="353">
        <f t="shared" si="13"/>
        <v>0.99990000000000001</v>
      </c>
      <c r="N44" s="354">
        <f t="shared" si="14"/>
        <v>175.98239999999998</v>
      </c>
      <c r="O44" s="354">
        <f t="shared" si="15"/>
        <v>175.98239999999998</v>
      </c>
      <c r="P44" s="354">
        <f t="shared" si="16"/>
        <v>175.98239999999998</v>
      </c>
      <c r="Q44" s="354">
        <f t="shared" si="17"/>
        <v>527.94719999999995</v>
      </c>
    </row>
    <row r="45" spans="1:17" ht="18" customHeight="1" x14ac:dyDescent="0.25">
      <c r="A45" s="345"/>
      <c r="B45" s="355"/>
      <c r="C45" s="347"/>
      <c r="D45" s="356"/>
      <c r="E45" s="349">
        <v>324.710306</v>
      </c>
      <c r="F45" s="357" t="s">
        <v>412</v>
      </c>
      <c r="G45" s="358">
        <v>3168</v>
      </c>
      <c r="H45" s="358"/>
      <c r="I45" s="351">
        <f t="shared" si="7"/>
        <v>3168</v>
      </c>
      <c r="J45" s="352">
        <v>0.33329999999999999</v>
      </c>
      <c r="K45" s="352">
        <v>0.33329999999999999</v>
      </c>
      <c r="L45" s="352">
        <v>0.33329999999999999</v>
      </c>
      <c r="M45" s="353">
        <f t="shared" si="13"/>
        <v>0.99990000000000001</v>
      </c>
      <c r="N45" s="354">
        <f t="shared" si="14"/>
        <v>1055.8943999999999</v>
      </c>
      <c r="O45" s="354">
        <f t="shared" si="15"/>
        <v>1055.8943999999999</v>
      </c>
      <c r="P45" s="354">
        <f t="shared" si="16"/>
        <v>1055.8943999999999</v>
      </c>
      <c r="Q45" s="354">
        <f t="shared" si="17"/>
        <v>3167.6831999999995</v>
      </c>
    </row>
    <row r="46" spans="1:17" ht="18" customHeight="1" x14ac:dyDescent="0.25">
      <c r="A46" s="345"/>
      <c r="B46" s="355"/>
      <c r="C46" s="347"/>
      <c r="D46" s="356"/>
      <c r="E46" s="349">
        <v>324.71040099999999</v>
      </c>
      <c r="F46" s="357" t="s">
        <v>413</v>
      </c>
      <c r="G46" s="358">
        <v>384</v>
      </c>
      <c r="H46" s="358"/>
      <c r="I46" s="351">
        <f t="shared" si="7"/>
        <v>384</v>
      </c>
      <c r="J46" s="352">
        <v>0.33329999999999999</v>
      </c>
      <c r="K46" s="352">
        <v>0.33329999999999999</v>
      </c>
      <c r="L46" s="352">
        <v>0.33329999999999999</v>
      </c>
      <c r="M46" s="353">
        <f t="shared" si="13"/>
        <v>0.99990000000000001</v>
      </c>
      <c r="N46" s="354">
        <f t="shared" si="14"/>
        <v>127.9872</v>
      </c>
      <c r="O46" s="354">
        <f t="shared" si="15"/>
        <v>127.9872</v>
      </c>
      <c r="P46" s="354">
        <f t="shared" si="16"/>
        <v>127.9872</v>
      </c>
      <c r="Q46" s="354">
        <f t="shared" si="17"/>
        <v>383.96159999999998</v>
      </c>
    </row>
    <row r="47" spans="1:17" ht="18" customHeight="1" x14ac:dyDescent="0.25">
      <c r="A47" s="345"/>
      <c r="B47" s="355"/>
      <c r="C47" s="347"/>
      <c r="D47" s="356"/>
      <c r="E47" s="349">
        <v>324.71040199999999</v>
      </c>
      <c r="F47" s="357" t="s">
        <v>414</v>
      </c>
      <c r="G47" s="358">
        <v>67.2</v>
      </c>
      <c r="H47" s="358"/>
      <c r="I47" s="351">
        <f t="shared" si="7"/>
        <v>67.2</v>
      </c>
      <c r="J47" s="352">
        <v>0.33329999999999999</v>
      </c>
      <c r="K47" s="352">
        <v>0.33329999999999999</v>
      </c>
      <c r="L47" s="352">
        <v>0.33329999999999999</v>
      </c>
      <c r="M47" s="353">
        <f t="shared" si="13"/>
        <v>0.99990000000000001</v>
      </c>
      <c r="N47" s="354">
        <f t="shared" si="14"/>
        <v>22.397760000000002</v>
      </c>
      <c r="O47" s="354">
        <f t="shared" si="15"/>
        <v>22.397760000000002</v>
      </c>
      <c r="P47" s="354">
        <f t="shared" si="16"/>
        <v>22.397760000000002</v>
      </c>
      <c r="Q47" s="354">
        <f t="shared" si="17"/>
        <v>67.193280000000001</v>
      </c>
    </row>
    <row r="48" spans="1:17" ht="18" customHeight="1" x14ac:dyDescent="0.25">
      <c r="A48" s="345"/>
      <c r="B48" s="355"/>
      <c r="C48" s="347"/>
      <c r="D48" s="356"/>
      <c r="E48" s="349">
        <v>324.71040799999997</v>
      </c>
      <c r="F48" s="357" t="s">
        <v>415</v>
      </c>
      <c r="G48" s="358">
        <v>514.55999999999995</v>
      </c>
      <c r="H48" s="358"/>
      <c r="I48" s="351">
        <f t="shared" si="7"/>
        <v>514.55999999999995</v>
      </c>
      <c r="J48" s="352">
        <v>0.33329999999999999</v>
      </c>
      <c r="K48" s="352">
        <v>0.33329999999999999</v>
      </c>
      <c r="L48" s="352">
        <v>0.33329999999999999</v>
      </c>
      <c r="M48" s="353">
        <f t="shared" si="13"/>
        <v>0.99990000000000001</v>
      </c>
      <c r="N48" s="354">
        <f t="shared" si="14"/>
        <v>171.50284799999997</v>
      </c>
      <c r="O48" s="354">
        <f t="shared" si="15"/>
        <v>171.50284799999997</v>
      </c>
      <c r="P48" s="354">
        <f t="shared" si="16"/>
        <v>171.50284799999997</v>
      </c>
      <c r="Q48" s="354">
        <f t="shared" si="17"/>
        <v>514.50854399999992</v>
      </c>
    </row>
    <row r="49" spans="1:20" ht="18" customHeight="1" x14ac:dyDescent="0.25">
      <c r="A49" s="345"/>
      <c r="B49" s="355"/>
      <c r="C49" s="347"/>
      <c r="D49" s="356"/>
      <c r="E49" s="349">
        <v>324.710509</v>
      </c>
      <c r="F49" s="357" t="s">
        <v>243</v>
      </c>
      <c r="G49" s="358">
        <v>300</v>
      </c>
      <c r="H49" s="358">
        <v>800</v>
      </c>
      <c r="I49" s="351">
        <f t="shared" si="7"/>
        <v>1100</v>
      </c>
      <c r="J49" s="352">
        <v>0.33329999999999999</v>
      </c>
      <c r="K49" s="352">
        <v>0.33329999999999999</v>
      </c>
      <c r="L49" s="352">
        <v>0.33329999999999999</v>
      </c>
      <c r="M49" s="353">
        <f t="shared" si="13"/>
        <v>0.99990000000000001</v>
      </c>
      <c r="N49" s="354">
        <f t="shared" si="14"/>
        <v>99.99</v>
      </c>
      <c r="O49" s="354">
        <f t="shared" si="15"/>
        <v>99.99</v>
      </c>
      <c r="P49" s="354">
        <f t="shared" si="16"/>
        <v>99.99</v>
      </c>
      <c r="Q49" s="354">
        <f t="shared" si="17"/>
        <v>299.96999999999997</v>
      </c>
    </row>
    <row r="50" spans="1:20" ht="57.75" customHeight="1" x14ac:dyDescent="0.25">
      <c r="A50" s="345"/>
      <c r="B50" s="355"/>
      <c r="C50" s="347"/>
      <c r="D50" s="356"/>
      <c r="E50" s="349">
        <v>324.73080199999998</v>
      </c>
      <c r="F50" s="350" t="s">
        <v>424</v>
      </c>
      <c r="G50" s="351">
        <v>2500</v>
      </c>
      <c r="H50" s="351"/>
      <c r="I50" s="351">
        <f t="shared" si="7"/>
        <v>2500</v>
      </c>
      <c r="J50" s="352">
        <v>0</v>
      </c>
      <c r="K50" s="352">
        <v>1</v>
      </c>
      <c r="L50" s="352">
        <v>0</v>
      </c>
      <c r="M50" s="353">
        <f t="shared" si="13"/>
        <v>1</v>
      </c>
      <c r="N50" s="354">
        <f t="shared" si="14"/>
        <v>0</v>
      </c>
      <c r="O50" s="354">
        <f t="shared" si="15"/>
        <v>2500</v>
      </c>
      <c r="P50" s="354">
        <f t="shared" si="16"/>
        <v>0</v>
      </c>
      <c r="Q50" s="354">
        <f t="shared" si="17"/>
        <v>2500</v>
      </c>
    </row>
    <row r="51" spans="1:20" s="362" customFormat="1" ht="33" customHeight="1" x14ac:dyDescent="0.25">
      <c r="A51" s="345"/>
      <c r="B51" s="355"/>
      <c r="C51" s="347"/>
      <c r="D51" s="356"/>
      <c r="E51" s="349">
        <v>324.73060501999998</v>
      </c>
      <c r="F51" s="359" t="s">
        <v>441</v>
      </c>
      <c r="G51" s="358">
        <v>4000</v>
      </c>
      <c r="H51" s="358">
        <v>-3400</v>
      </c>
      <c r="I51" s="351">
        <f t="shared" si="7"/>
        <v>600</v>
      </c>
      <c r="J51" s="352">
        <v>0</v>
      </c>
      <c r="K51" s="352">
        <v>0</v>
      </c>
      <c r="L51" s="352">
        <v>1</v>
      </c>
      <c r="M51" s="352">
        <f t="shared" si="13"/>
        <v>1</v>
      </c>
      <c r="N51" s="360">
        <f t="shared" si="14"/>
        <v>0</v>
      </c>
      <c r="O51" s="360">
        <f t="shared" si="15"/>
        <v>0</v>
      </c>
      <c r="P51" s="360">
        <f t="shared" si="16"/>
        <v>4000</v>
      </c>
      <c r="Q51" s="360">
        <f t="shared" si="17"/>
        <v>4000</v>
      </c>
      <c r="R51" s="361"/>
      <c r="S51" s="361"/>
      <c r="T51" s="361"/>
    </row>
    <row r="52" spans="1:20" s="362" customFormat="1" ht="27.75" customHeight="1" x14ac:dyDescent="0.25">
      <c r="A52" s="345"/>
      <c r="B52" s="355"/>
      <c r="C52" s="347"/>
      <c r="D52" s="356"/>
      <c r="E52" s="349" t="s">
        <v>442</v>
      </c>
      <c r="F52" s="359" t="s">
        <v>443</v>
      </c>
      <c r="G52" s="358">
        <v>600</v>
      </c>
      <c r="H52" s="358"/>
      <c r="I52" s="351">
        <f t="shared" si="7"/>
        <v>600</v>
      </c>
      <c r="J52" s="352">
        <v>0.5</v>
      </c>
      <c r="K52" s="352">
        <v>0</v>
      </c>
      <c r="L52" s="352">
        <v>0.5</v>
      </c>
      <c r="M52" s="352">
        <f t="shared" si="13"/>
        <v>1</v>
      </c>
      <c r="N52" s="360">
        <f t="shared" si="14"/>
        <v>300</v>
      </c>
      <c r="O52" s="360">
        <f t="shared" si="15"/>
        <v>0</v>
      </c>
      <c r="P52" s="360">
        <f t="shared" si="16"/>
        <v>300</v>
      </c>
      <c r="Q52" s="360">
        <f t="shared" si="17"/>
        <v>600</v>
      </c>
      <c r="R52" s="361"/>
      <c r="S52" s="361"/>
      <c r="T52" s="361"/>
    </row>
    <row r="53" spans="1:20" s="362" customFormat="1" ht="18" customHeight="1" x14ac:dyDescent="0.25">
      <c r="A53" s="345"/>
      <c r="B53" s="355"/>
      <c r="C53" s="347"/>
      <c r="D53" s="356"/>
      <c r="E53" s="349">
        <v>324.73082299999999</v>
      </c>
      <c r="F53" s="363" t="s">
        <v>419</v>
      </c>
      <c r="G53" s="358">
        <v>600</v>
      </c>
      <c r="H53" s="358">
        <v>30</v>
      </c>
      <c r="I53" s="351">
        <f t="shared" si="7"/>
        <v>630</v>
      </c>
      <c r="J53" s="352">
        <v>1</v>
      </c>
      <c r="K53" s="352">
        <v>0</v>
      </c>
      <c r="L53" s="352">
        <v>0</v>
      </c>
      <c r="M53" s="352">
        <f t="shared" si="13"/>
        <v>1</v>
      </c>
      <c r="N53" s="360">
        <f t="shared" si="14"/>
        <v>600</v>
      </c>
      <c r="O53" s="360">
        <f t="shared" si="15"/>
        <v>0</v>
      </c>
      <c r="P53" s="360">
        <f t="shared" si="16"/>
        <v>0</v>
      </c>
      <c r="Q53" s="360">
        <f t="shared" si="17"/>
        <v>600</v>
      </c>
      <c r="R53" s="288"/>
      <c r="S53" s="288"/>
      <c r="T53" s="361"/>
    </row>
    <row r="54" spans="1:20" ht="18" customHeight="1" x14ac:dyDescent="0.25">
      <c r="A54" s="345"/>
      <c r="B54" s="355"/>
      <c r="C54" s="347"/>
      <c r="D54" s="356"/>
      <c r="E54" s="349">
        <v>324.73140599999999</v>
      </c>
      <c r="F54" s="350" t="s">
        <v>444</v>
      </c>
      <c r="G54" s="358">
        <v>300</v>
      </c>
      <c r="H54" s="358"/>
      <c r="I54" s="351">
        <f t="shared" si="7"/>
        <v>300</v>
      </c>
      <c r="J54" s="352">
        <v>1</v>
      </c>
      <c r="K54" s="352">
        <v>0</v>
      </c>
      <c r="L54" s="352">
        <v>0</v>
      </c>
      <c r="M54" s="353">
        <f t="shared" si="8"/>
        <v>1</v>
      </c>
      <c r="N54" s="354">
        <f t="shared" si="9"/>
        <v>300</v>
      </c>
      <c r="O54" s="354">
        <f t="shared" si="10"/>
        <v>0</v>
      </c>
      <c r="P54" s="354">
        <f t="shared" si="11"/>
        <v>0</v>
      </c>
      <c r="Q54" s="354">
        <f t="shared" si="12"/>
        <v>300</v>
      </c>
    </row>
    <row r="55" spans="1:20" ht="18" customHeight="1" x14ac:dyDescent="0.25">
      <c r="A55" s="345"/>
      <c r="B55" s="355"/>
      <c r="C55" s="347"/>
      <c r="D55" s="356"/>
      <c r="E55" s="349" t="s">
        <v>445</v>
      </c>
      <c r="F55" s="350" t="s">
        <v>446</v>
      </c>
      <c r="G55" s="358">
        <v>2000</v>
      </c>
      <c r="H55" s="358">
        <v>-700</v>
      </c>
      <c r="I55" s="351">
        <f t="shared" si="7"/>
        <v>1300</v>
      </c>
      <c r="J55" s="352">
        <v>0.4</v>
      </c>
      <c r="K55" s="352">
        <v>0.3</v>
      </c>
      <c r="L55" s="352">
        <v>0.3</v>
      </c>
      <c r="M55" s="353">
        <f t="shared" si="8"/>
        <v>1</v>
      </c>
      <c r="N55" s="354">
        <f t="shared" si="9"/>
        <v>800</v>
      </c>
      <c r="O55" s="354">
        <f t="shared" si="10"/>
        <v>600</v>
      </c>
      <c r="P55" s="354">
        <f t="shared" si="11"/>
        <v>600</v>
      </c>
      <c r="Q55" s="354">
        <f t="shared" si="12"/>
        <v>2000</v>
      </c>
    </row>
    <row r="56" spans="1:20" ht="18" customHeight="1" x14ac:dyDescent="0.25">
      <c r="A56" s="345"/>
      <c r="B56" s="355"/>
      <c r="C56" s="347"/>
      <c r="D56" s="356"/>
      <c r="E56" s="349">
        <v>324.73080499999998</v>
      </c>
      <c r="F56" s="350" t="s">
        <v>447</v>
      </c>
      <c r="G56" s="364">
        <v>2000</v>
      </c>
      <c r="H56" s="364"/>
      <c r="I56" s="351">
        <f t="shared" si="7"/>
        <v>2000</v>
      </c>
      <c r="J56" s="352">
        <v>1</v>
      </c>
      <c r="K56" s="352">
        <v>0</v>
      </c>
      <c r="L56" s="352">
        <v>0</v>
      </c>
      <c r="M56" s="353">
        <f t="shared" si="8"/>
        <v>1</v>
      </c>
      <c r="N56" s="354">
        <f t="shared" si="9"/>
        <v>2000</v>
      </c>
      <c r="O56" s="354">
        <f t="shared" si="10"/>
        <v>0</v>
      </c>
      <c r="P56" s="354">
        <f t="shared" si="11"/>
        <v>0</v>
      </c>
      <c r="Q56" s="354">
        <f t="shared" si="12"/>
        <v>2000</v>
      </c>
    </row>
    <row r="57" spans="1:20" ht="18" customHeight="1" x14ac:dyDescent="0.25">
      <c r="A57" s="345"/>
      <c r="B57" s="355"/>
      <c r="C57" s="347"/>
      <c r="D57" s="356"/>
      <c r="E57" s="349">
        <v>324.73080299999998</v>
      </c>
      <c r="F57" s="350" t="s">
        <v>448</v>
      </c>
      <c r="G57" s="358">
        <v>1000</v>
      </c>
      <c r="H57" s="358"/>
      <c r="I57" s="351">
        <f t="shared" si="7"/>
        <v>1000</v>
      </c>
      <c r="J57" s="352">
        <v>1</v>
      </c>
      <c r="K57" s="352">
        <v>0</v>
      </c>
      <c r="L57" s="352">
        <v>0</v>
      </c>
      <c r="M57" s="353">
        <f t="shared" si="8"/>
        <v>1</v>
      </c>
      <c r="N57" s="354">
        <f t="shared" si="9"/>
        <v>1000</v>
      </c>
      <c r="O57" s="354">
        <f t="shared" si="10"/>
        <v>0</v>
      </c>
      <c r="P57" s="354">
        <f t="shared" si="11"/>
        <v>0</v>
      </c>
      <c r="Q57" s="354">
        <f t="shared" si="12"/>
        <v>1000</v>
      </c>
    </row>
    <row r="58" spans="1:20" ht="18" customHeight="1" x14ac:dyDescent="0.25">
      <c r="A58" s="345"/>
      <c r="B58" s="355"/>
      <c r="C58" s="347"/>
      <c r="D58" s="365"/>
      <c r="E58" s="349">
        <v>324.73081100000002</v>
      </c>
      <c r="F58" s="350" t="s">
        <v>428</v>
      </c>
      <c r="G58" s="351">
        <v>2500</v>
      </c>
      <c r="H58" s="351"/>
      <c r="I58" s="351">
        <f t="shared" si="7"/>
        <v>2500</v>
      </c>
      <c r="J58" s="352">
        <v>1</v>
      </c>
      <c r="K58" s="352">
        <v>0</v>
      </c>
      <c r="L58" s="352">
        <v>0</v>
      </c>
      <c r="M58" s="353">
        <f t="shared" si="8"/>
        <v>1</v>
      </c>
      <c r="N58" s="354">
        <f t="shared" si="9"/>
        <v>2500</v>
      </c>
      <c r="O58" s="354">
        <f t="shared" si="10"/>
        <v>0</v>
      </c>
      <c r="P58" s="354">
        <f t="shared" si="11"/>
        <v>0</v>
      </c>
      <c r="Q58" s="354">
        <f t="shared" si="12"/>
        <v>2500</v>
      </c>
    </row>
    <row r="59" spans="1:20" ht="18" customHeight="1" x14ac:dyDescent="0.25">
      <c r="A59" s="345"/>
      <c r="B59" s="355"/>
      <c r="C59" s="347" t="s">
        <v>449</v>
      </c>
      <c r="D59" s="347" t="s">
        <v>450</v>
      </c>
      <c r="E59" s="349">
        <v>324.73140599999999</v>
      </c>
      <c r="F59" s="350" t="s">
        <v>451</v>
      </c>
      <c r="G59" s="351">
        <v>500</v>
      </c>
      <c r="H59" s="351"/>
      <c r="I59" s="351">
        <f t="shared" si="7"/>
        <v>500</v>
      </c>
      <c r="J59" s="352">
        <v>1</v>
      </c>
      <c r="K59" s="352">
        <v>0</v>
      </c>
      <c r="L59" s="352">
        <v>0</v>
      </c>
      <c r="M59" s="353">
        <f t="shared" si="8"/>
        <v>1</v>
      </c>
      <c r="N59" s="354">
        <f t="shared" si="9"/>
        <v>500</v>
      </c>
      <c r="O59" s="354">
        <f t="shared" si="10"/>
        <v>0</v>
      </c>
      <c r="P59" s="354">
        <f t="shared" si="11"/>
        <v>0</v>
      </c>
      <c r="Q59" s="354">
        <f t="shared" si="12"/>
        <v>500</v>
      </c>
    </row>
    <row r="60" spans="1:20" ht="18" customHeight="1" x14ac:dyDescent="0.25">
      <c r="A60" s="345"/>
      <c r="B60" s="355"/>
      <c r="C60" s="347"/>
      <c r="D60" s="347"/>
      <c r="E60" s="349">
        <v>324.73061200000001</v>
      </c>
      <c r="F60" s="357" t="s">
        <v>452</v>
      </c>
      <c r="G60" s="351">
        <v>300</v>
      </c>
      <c r="H60" s="351"/>
      <c r="I60" s="351">
        <f t="shared" si="7"/>
        <v>300</v>
      </c>
      <c r="J60" s="352">
        <v>0.5</v>
      </c>
      <c r="K60" s="352">
        <v>0</v>
      </c>
      <c r="L60" s="352">
        <v>0.5</v>
      </c>
      <c r="M60" s="353">
        <f t="shared" si="8"/>
        <v>1</v>
      </c>
      <c r="N60" s="354">
        <f t="shared" si="9"/>
        <v>150</v>
      </c>
      <c r="O60" s="354">
        <f t="shared" si="10"/>
        <v>0</v>
      </c>
      <c r="P60" s="354">
        <f t="shared" si="11"/>
        <v>150</v>
      </c>
      <c r="Q60" s="354">
        <f t="shared" si="12"/>
        <v>300</v>
      </c>
    </row>
    <row r="61" spans="1:20" ht="18" customHeight="1" x14ac:dyDescent="0.25">
      <c r="A61" s="345"/>
      <c r="B61" s="355"/>
      <c r="C61" s="347"/>
      <c r="D61" s="347"/>
      <c r="E61" s="349">
        <v>324.73040400000002</v>
      </c>
      <c r="F61" s="357" t="s">
        <v>453</v>
      </c>
      <c r="G61" s="351">
        <v>500</v>
      </c>
      <c r="H61" s="351"/>
      <c r="I61" s="351">
        <f t="shared" si="7"/>
        <v>500</v>
      </c>
      <c r="J61" s="352">
        <v>1</v>
      </c>
      <c r="K61" s="352">
        <v>0</v>
      </c>
      <c r="L61" s="352">
        <v>0</v>
      </c>
      <c r="M61" s="353">
        <f t="shared" si="8"/>
        <v>1</v>
      </c>
      <c r="N61" s="354">
        <f t="shared" si="9"/>
        <v>500</v>
      </c>
      <c r="O61" s="354">
        <f t="shared" si="10"/>
        <v>0</v>
      </c>
      <c r="P61" s="354">
        <f t="shared" si="11"/>
        <v>0</v>
      </c>
      <c r="Q61" s="354">
        <f t="shared" si="12"/>
        <v>500</v>
      </c>
    </row>
    <row r="62" spans="1:20" ht="18" customHeight="1" x14ac:dyDescent="0.25">
      <c r="A62" s="345"/>
      <c r="B62" s="366"/>
      <c r="C62" s="347"/>
      <c r="D62" s="347"/>
      <c r="E62" s="349">
        <v>324.73081100000002</v>
      </c>
      <c r="F62" s="357" t="s">
        <v>454</v>
      </c>
      <c r="G62" s="351">
        <v>1500</v>
      </c>
      <c r="H62" s="351"/>
      <c r="I62" s="351">
        <f t="shared" si="7"/>
        <v>1500</v>
      </c>
      <c r="J62" s="352">
        <v>1</v>
      </c>
      <c r="K62" s="352">
        <v>0</v>
      </c>
      <c r="L62" s="352">
        <v>0</v>
      </c>
      <c r="M62" s="353">
        <f t="shared" si="8"/>
        <v>1</v>
      </c>
      <c r="N62" s="354">
        <f t="shared" si="9"/>
        <v>1500</v>
      </c>
      <c r="O62" s="354">
        <f t="shared" si="10"/>
        <v>0</v>
      </c>
      <c r="P62" s="354">
        <f t="shared" si="11"/>
        <v>0</v>
      </c>
      <c r="Q62" s="354">
        <f t="shared" si="12"/>
        <v>1500</v>
      </c>
    </row>
    <row r="63" spans="1:20" ht="28.5" customHeight="1" x14ac:dyDescent="0.25">
      <c r="A63" s="337"/>
      <c r="B63" s="338"/>
      <c r="C63" s="339" t="s">
        <v>455</v>
      </c>
      <c r="D63" s="339"/>
      <c r="E63" s="339"/>
      <c r="F63" s="339"/>
      <c r="G63" s="367">
        <f>SUM(G39:G62)</f>
        <v>65988.689999999988</v>
      </c>
      <c r="H63" s="368"/>
      <c r="I63" s="368"/>
      <c r="J63" s="369"/>
      <c r="K63" s="341"/>
      <c r="L63" s="370"/>
      <c r="M63" s="343"/>
      <c r="N63" s="344"/>
      <c r="O63" s="344"/>
      <c r="P63" s="344"/>
      <c r="Q63" s="28"/>
    </row>
    <row r="64" spans="1:20" s="325" customFormat="1" ht="19.5" customHeight="1" x14ac:dyDescent="0.25">
      <c r="A64" s="371" t="s">
        <v>456</v>
      </c>
      <c r="B64" s="372" t="s">
        <v>457</v>
      </c>
      <c r="C64" s="372" t="s">
        <v>458</v>
      </c>
      <c r="D64" s="373" t="s">
        <v>459</v>
      </c>
      <c r="E64" s="374">
        <v>325.710105</v>
      </c>
      <c r="F64" s="375" t="s">
        <v>460</v>
      </c>
      <c r="G64" s="376">
        <v>18132</v>
      </c>
      <c r="H64" s="376"/>
      <c r="I64" s="376">
        <f t="shared" si="7"/>
        <v>18132</v>
      </c>
      <c r="J64" s="377">
        <v>0.2</v>
      </c>
      <c r="K64" s="377">
        <v>0.2</v>
      </c>
      <c r="L64" s="377">
        <v>0.6</v>
      </c>
      <c r="M64" s="378">
        <f t="shared" ref="M64:M90" si="18">SUM(J64:L64)</f>
        <v>1</v>
      </c>
      <c r="N64" s="379">
        <f t="shared" ref="N64:N90" si="19">+G64*J64</f>
        <v>3626.4</v>
      </c>
      <c r="O64" s="379">
        <f t="shared" ref="O64:O90" si="20">+G64*K64</f>
        <v>3626.4</v>
      </c>
      <c r="P64" s="379">
        <f t="shared" ref="P64:P90" si="21">+G64*L64</f>
        <v>10879.199999999999</v>
      </c>
      <c r="Q64" s="379">
        <f t="shared" ref="Q64:Q90" si="22">SUM(N64:P64)</f>
        <v>18132</v>
      </c>
    </row>
    <row r="65" spans="1:17" s="325" customFormat="1" ht="19.5" customHeight="1" x14ac:dyDescent="0.25">
      <c r="A65" s="371"/>
      <c r="B65" s="380"/>
      <c r="C65" s="380"/>
      <c r="D65" s="381"/>
      <c r="E65" s="374">
        <v>325.710106</v>
      </c>
      <c r="F65" s="375" t="s">
        <v>285</v>
      </c>
      <c r="G65" s="376">
        <v>11297.52</v>
      </c>
      <c r="H65" s="376"/>
      <c r="I65" s="376">
        <f t="shared" si="7"/>
        <v>11297.52</v>
      </c>
      <c r="J65" s="377"/>
      <c r="K65" s="377"/>
      <c r="L65" s="377"/>
      <c r="M65" s="378"/>
      <c r="N65" s="379"/>
      <c r="O65" s="379"/>
      <c r="P65" s="379"/>
      <c r="Q65" s="379"/>
    </row>
    <row r="66" spans="1:17" s="325" customFormat="1" ht="19.5" customHeight="1" x14ac:dyDescent="0.25">
      <c r="A66" s="371"/>
      <c r="B66" s="380"/>
      <c r="C66" s="380"/>
      <c r="D66" s="381"/>
      <c r="E66" s="374">
        <v>325.71020299999998</v>
      </c>
      <c r="F66" s="375" t="s">
        <v>84</v>
      </c>
      <c r="G66" s="376">
        <v>2452.46</v>
      </c>
      <c r="H66" s="376"/>
      <c r="I66" s="376">
        <f t="shared" si="7"/>
        <v>2452.46</v>
      </c>
      <c r="J66" s="377"/>
      <c r="K66" s="377"/>
      <c r="L66" s="377"/>
      <c r="M66" s="378"/>
      <c r="N66" s="379"/>
      <c r="O66" s="379"/>
      <c r="P66" s="379"/>
      <c r="Q66" s="379"/>
    </row>
    <row r="67" spans="1:17" s="325" customFormat="1" ht="19.5" customHeight="1" x14ac:dyDescent="0.25">
      <c r="A67" s="371"/>
      <c r="B67" s="380"/>
      <c r="C67" s="380"/>
      <c r="D67" s="381"/>
      <c r="E67" s="374">
        <v>325.71020399999998</v>
      </c>
      <c r="F67" s="375" t="s">
        <v>127</v>
      </c>
      <c r="G67" s="376">
        <v>1700</v>
      </c>
      <c r="H67" s="376"/>
      <c r="I67" s="376">
        <f t="shared" si="7"/>
        <v>1700</v>
      </c>
      <c r="J67" s="377"/>
      <c r="K67" s="377"/>
      <c r="L67" s="377"/>
      <c r="M67" s="378"/>
      <c r="N67" s="379"/>
      <c r="O67" s="379"/>
      <c r="P67" s="379"/>
      <c r="Q67" s="379"/>
    </row>
    <row r="68" spans="1:17" s="325" customFormat="1" ht="19.5" customHeight="1" x14ac:dyDescent="0.25">
      <c r="A68" s="371"/>
      <c r="B68" s="380"/>
      <c r="C68" s="380"/>
      <c r="D68" s="381"/>
      <c r="E68" s="374">
        <v>325.710601</v>
      </c>
      <c r="F68" s="375" t="s">
        <v>87</v>
      </c>
      <c r="G68" s="376">
        <v>1442.19</v>
      </c>
      <c r="H68" s="376"/>
      <c r="I68" s="376">
        <f t="shared" si="7"/>
        <v>1442.19</v>
      </c>
      <c r="J68" s="377"/>
      <c r="K68" s="377"/>
      <c r="L68" s="377"/>
      <c r="M68" s="378"/>
      <c r="N68" s="379"/>
      <c r="O68" s="379"/>
      <c r="P68" s="379"/>
      <c r="Q68" s="379"/>
    </row>
    <row r="69" spans="1:17" s="325" customFormat="1" ht="19.5" customHeight="1" x14ac:dyDescent="0.25">
      <c r="A69" s="371"/>
      <c r="B69" s="380"/>
      <c r="C69" s="380"/>
      <c r="D69" s="381"/>
      <c r="E69" s="374">
        <v>325.71060199999999</v>
      </c>
      <c r="F69" s="375" t="s">
        <v>86</v>
      </c>
      <c r="G69" s="376">
        <v>3524.57</v>
      </c>
      <c r="H69" s="376"/>
      <c r="I69" s="376">
        <f t="shared" si="7"/>
        <v>3524.57</v>
      </c>
      <c r="J69" s="377"/>
      <c r="K69" s="377"/>
      <c r="L69" s="377"/>
      <c r="M69" s="378"/>
      <c r="N69" s="379"/>
      <c r="O69" s="379"/>
      <c r="P69" s="379"/>
      <c r="Q69" s="379"/>
    </row>
    <row r="70" spans="1:17" s="325" customFormat="1" ht="19.5" customHeight="1" x14ac:dyDescent="0.25">
      <c r="A70" s="371"/>
      <c r="B70" s="380"/>
      <c r="C70" s="380"/>
      <c r="D70" s="381"/>
      <c r="E70" s="374">
        <v>325.71030400000001</v>
      </c>
      <c r="F70" s="375" t="s">
        <v>411</v>
      </c>
      <c r="G70" s="376">
        <v>1584</v>
      </c>
      <c r="H70" s="376"/>
      <c r="I70" s="376">
        <f t="shared" si="7"/>
        <v>1584</v>
      </c>
      <c r="J70" s="377"/>
      <c r="K70" s="377"/>
      <c r="L70" s="377"/>
      <c r="M70" s="378"/>
      <c r="N70" s="379"/>
      <c r="O70" s="379"/>
      <c r="P70" s="379"/>
      <c r="Q70" s="379"/>
    </row>
    <row r="71" spans="1:17" s="325" customFormat="1" ht="19.5" customHeight="1" x14ac:dyDescent="0.25">
      <c r="A71" s="371"/>
      <c r="B71" s="380"/>
      <c r="C71" s="380"/>
      <c r="D71" s="381"/>
      <c r="E71" s="374">
        <v>325.710306</v>
      </c>
      <c r="F71" s="375" t="s">
        <v>412</v>
      </c>
      <c r="G71" s="376">
        <v>240</v>
      </c>
      <c r="H71" s="376">
        <v>1250</v>
      </c>
      <c r="I71" s="376">
        <f t="shared" si="7"/>
        <v>1490</v>
      </c>
      <c r="J71" s="377"/>
      <c r="K71" s="377"/>
      <c r="L71" s="377"/>
      <c r="M71" s="378"/>
      <c r="N71" s="379"/>
      <c r="O71" s="379"/>
      <c r="P71" s="379"/>
      <c r="Q71" s="379"/>
    </row>
    <row r="72" spans="1:17" s="325" customFormat="1" ht="19.5" customHeight="1" x14ac:dyDescent="0.25">
      <c r="A72" s="371"/>
      <c r="B72" s="380"/>
      <c r="C72" s="380"/>
      <c r="D72" s="381"/>
      <c r="E72" s="374">
        <v>325.71040099999999</v>
      </c>
      <c r="F72" s="375" t="s">
        <v>413</v>
      </c>
      <c r="G72" s="376">
        <v>200</v>
      </c>
      <c r="H72" s="376"/>
      <c r="I72" s="376">
        <f t="shared" si="7"/>
        <v>200</v>
      </c>
      <c r="J72" s="377"/>
      <c r="K72" s="377"/>
      <c r="L72" s="377"/>
      <c r="M72" s="378"/>
      <c r="N72" s="379"/>
      <c r="O72" s="379"/>
      <c r="P72" s="379"/>
      <c r="Q72" s="379"/>
    </row>
    <row r="73" spans="1:17" s="325" customFormat="1" ht="19.5" customHeight="1" x14ac:dyDescent="0.25">
      <c r="A73" s="371"/>
      <c r="B73" s="380"/>
      <c r="C73" s="380"/>
      <c r="D73" s="381"/>
      <c r="E73" s="374">
        <v>325.71040799999997</v>
      </c>
      <c r="F73" s="375" t="s">
        <v>415</v>
      </c>
      <c r="G73" s="376">
        <v>200</v>
      </c>
      <c r="H73" s="376"/>
      <c r="I73" s="376">
        <f t="shared" si="7"/>
        <v>200</v>
      </c>
      <c r="J73" s="377"/>
      <c r="K73" s="377"/>
      <c r="L73" s="377"/>
      <c r="M73" s="378"/>
      <c r="N73" s="379"/>
      <c r="O73" s="379"/>
      <c r="P73" s="379"/>
      <c r="Q73" s="379"/>
    </row>
    <row r="74" spans="1:17" s="325" customFormat="1" ht="33.75" customHeight="1" x14ac:dyDescent="0.25">
      <c r="A74" s="371"/>
      <c r="B74" s="380"/>
      <c r="C74" s="380"/>
      <c r="D74" s="381"/>
      <c r="E74" s="374">
        <v>325.710509</v>
      </c>
      <c r="F74" s="375" t="s">
        <v>243</v>
      </c>
      <c r="G74" s="376">
        <v>1000</v>
      </c>
      <c r="H74" s="376">
        <v>500</v>
      </c>
      <c r="I74" s="376">
        <f t="shared" si="7"/>
        <v>1500</v>
      </c>
      <c r="J74" s="377"/>
      <c r="K74" s="377"/>
      <c r="L74" s="377"/>
      <c r="M74" s="378"/>
      <c r="N74" s="379"/>
      <c r="O74" s="379"/>
      <c r="P74" s="379"/>
      <c r="Q74" s="379"/>
    </row>
    <row r="75" spans="1:17" s="325" customFormat="1" ht="33.75" customHeight="1" x14ac:dyDescent="0.25">
      <c r="A75" s="371"/>
      <c r="B75" s="380"/>
      <c r="C75" s="380"/>
      <c r="D75" s="381"/>
      <c r="E75" s="374">
        <v>325.73040400000002</v>
      </c>
      <c r="F75" s="375" t="s">
        <v>461</v>
      </c>
      <c r="G75" s="376">
        <v>5000</v>
      </c>
      <c r="H75" s="376"/>
      <c r="I75" s="376">
        <f t="shared" si="7"/>
        <v>5000</v>
      </c>
      <c r="J75" s="377"/>
      <c r="K75" s="377"/>
      <c r="L75" s="377"/>
      <c r="M75" s="378"/>
      <c r="N75" s="379"/>
      <c r="O75" s="379"/>
      <c r="P75" s="379"/>
      <c r="Q75" s="379"/>
    </row>
    <row r="76" spans="1:17" s="325" customFormat="1" ht="33.75" customHeight="1" x14ac:dyDescent="0.25">
      <c r="A76" s="371"/>
      <c r="B76" s="380"/>
      <c r="C76" s="380"/>
      <c r="D76" s="381"/>
      <c r="E76" s="374">
        <v>325.840104</v>
      </c>
      <c r="F76" s="375" t="s">
        <v>462</v>
      </c>
      <c r="G76" s="376">
        <v>13000</v>
      </c>
      <c r="H76" s="376"/>
      <c r="I76" s="376">
        <f t="shared" si="7"/>
        <v>13000</v>
      </c>
      <c r="J76" s="377">
        <v>0.3</v>
      </c>
      <c r="K76" s="377">
        <v>0.4</v>
      </c>
      <c r="L76" s="377">
        <v>0.3</v>
      </c>
      <c r="M76" s="378">
        <f t="shared" si="18"/>
        <v>1</v>
      </c>
      <c r="N76" s="379">
        <f t="shared" si="19"/>
        <v>3900</v>
      </c>
      <c r="O76" s="379">
        <f t="shared" si="20"/>
        <v>5200</v>
      </c>
      <c r="P76" s="379">
        <f t="shared" si="21"/>
        <v>3900</v>
      </c>
      <c r="Q76" s="379">
        <f t="shared" si="22"/>
        <v>13000</v>
      </c>
    </row>
    <row r="77" spans="1:17" s="325" customFormat="1" ht="24" x14ac:dyDescent="0.25">
      <c r="A77" s="371"/>
      <c r="B77" s="380"/>
      <c r="C77" s="380"/>
      <c r="D77" s="381"/>
      <c r="E77" s="374">
        <v>325.73080199999998</v>
      </c>
      <c r="F77" s="375" t="s">
        <v>463</v>
      </c>
      <c r="G77" s="376">
        <v>1200</v>
      </c>
      <c r="H77" s="376"/>
      <c r="I77" s="376">
        <f t="shared" si="7"/>
        <v>1200</v>
      </c>
      <c r="J77" s="377">
        <v>1</v>
      </c>
      <c r="K77" s="377">
        <v>0</v>
      </c>
      <c r="L77" s="377">
        <v>0</v>
      </c>
      <c r="M77" s="378">
        <f t="shared" si="18"/>
        <v>1</v>
      </c>
      <c r="N77" s="379">
        <f t="shared" si="19"/>
        <v>1200</v>
      </c>
      <c r="O77" s="379">
        <f t="shared" si="20"/>
        <v>0</v>
      </c>
      <c r="P77" s="379">
        <f t="shared" si="21"/>
        <v>0</v>
      </c>
      <c r="Q77" s="379">
        <f t="shared" si="22"/>
        <v>1200</v>
      </c>
    </row>
    <row r="78" spans="1:17" s="325" customFormat="1" ht="20.25" customHeight="1" x14ac:dyDescent="0.25">
      <c r="A78" s="371"/>
      <c r="B78" s="380"/>
      <c r="C78" s="380"/>
      <c r="D78" s="381"/>
      <c r="E78" s="374">
        <v>325.73080299999998</v>
      </c>
      <c r="F78" s="375" t="s">
        <v>464</v>
      </c>
      <c r="G78" s="376">
        <v>771.6</v>
      </c>
      <c r="H78" s="376"/>
      <c r="I78" s="376">
        <f t="shared" si="7"/>
        <v>771.6</v>
      </c>
      <c r="J78" s="377">
        <v>1</v>
      </c>
      <c r="K78" s="377">
        <v>0</v>
      </c>
      <c r="L78" s="377">
        <v>0</v>
      </c>
      <c r="M78" s="378">
        <f t="shared" si="18"/>
        <v>1</v>
      </c>
      <c r="N78" s="379">
        <f t="shared" si="19"/>
        <v>771.6</v>
      </c>
      <c r="O78" s="379">
        <f t="shared" si="20"/>
        <v>0</v>
      </c>
      <c r="P78" s="379">
        <f t="shared" si="21"/>
        <v>0</v>
      </c>
      <c r="Q78" s="379">
        <f t="shared" si="22"/>
        <v>771.6</v>
      </c>
    </row>
    <row r="79" spans="1:17" s="325" customFormat="1" ht="20.25" customHeight="1" x14ac:dyDescent="0.25">
      <c r="A79" s="371"/>
      <c r="B79" s="380"/>
      <c r="C79" s="380"/>
      <c r="D79" s="381"/>
      <c r="E79" s="374">
        <v>325.73020200000002</v>
      </c>
      <c r="F79" s="382" t="s">
        <v>300</v>
      </c>
      <c r="G79" s="376">
        <v>300</v>
      </c>
      <c r="H79" s="376"/>
      <c r="I79" s="376">
        <f t="shared" si="7"/>
        <v>300</v>
      </c>
      <c r="J79" s="377">
        <v>1</v>
      </c>
      <c r="K79" s="377">
        <v>0</v>
      </c>
      <c r="L79" s="377">
        <v>0</v>
      </c>
      <c r="M79" s="378">
        <f>SUM(J79:L79)</f>
        <v>1</v>
      </c>
      <c r="N79" s="379">
        <f>+G79*J79</f>
        <v>300</v>
      </c>
      <c r="O79" s="379">
        <f>+G79*K79</f>
        <v>0</v>
      </c>
      <c r="P79" s="379">
        <f>+G79*L79</f>
        <v>0</v>
      </c>
      <c r="Q79" s="379">
        <f>SUM(N79:P79)</f>
        <v>300</v>
      </c>
    </row>
    <row r="80" spans="1:17" s="325" customFormat="1" ht="20.25" customHeight="1" x14ac:dyDescent="0.25">
      <c r="A80" s="371"/>
      <c r="B80" s="380"/>
      <c r="C80" s="380"/>
      <c r="D80" s="381"/>
      <c r="E80" s="374">
        <v>325.73080399999998</v>
      </c>
      <c r="F80" s="375" t="s">
        <v>25</v>
      </c>
      <c r="G80" s="376">
        <v>200</v>
      </c>
      <c r="H80" s="376"/>
      <c r="I80" s="376">
        <f t="shared" si="7"/>
        <v>200</v>
      </c>
      <c r="J80" s="377">
        <v>1</v>
      </c>
      <c r="K80" s="377">
        <v>0</v>
      </c>
      <c r="L80" s="377">
        <v>0</v>
      </c>
      <c r="M80" s="378">
        <f t="shared" si="18"/>
        <v>1</v>
      </c>
      <c r="N80" s="379">
        <f t="shared" si="19"/>
        <v>200</v>
      </c>
      <c r="O80" s="379">
        <f t="shared" si="20"/>
        <v>0</v>
      </c>
      <c r="P80" s="379">
        <f t="shared" si="21"/>
        <v>0</v>
      </c>
      <c r="Q80" s="379">
        <f t="shared" si="22"/>
        <v>200</v>
      </c>
    </row>
    <row r="81" spans="1:17" s="325" customFormat="1" ht="20.25" customHeight="1" x14ac:dyDescent="0.25">
      <c r="A81" s="371"/>
      <c r="B81" s="380"/>
      <c r="C81" s="380"/>
      <c r="D81" s="381"/>
      <c r="E81" s="374">
        <v>325.73080499999998</v>
      </c>
      <c r="F81" s="382" t="s">
        <v>41</v>
      </c>
      <c r="G81" s="376">
        <v>2000</v>
      </c>
      <c r="H81" s="376"/>
      <c r="I81" s="376">
        <f t="shared" ref="I81:I144" si="23">+G81+H81</f>
        <v>2000</v>
      </c>
      <c r="J81" s="377">
        <v>1</v>
      </c>
      <c r="K81" s="377">
        <v>0</v>
      </c>
      <c r="L81" s="377">
        <v>0</v>
      </c>
      <c r="M81" s="378">
        <f t="shared" si="18"/>
        <v>1</v>
      </c>
      <c r="N81" s="379">
        <f t="shared" si="19"/>
        <v>2000</v>
      </c>
      <c r="O81" s="379">
        <f t="shared" si="20"/>
        <v>0</v>
      </c>
      <c r="P81" s="379">
        <f t="shared" si="21"/>
        <v>0</v>
      </c>
      <c r="Q81" s="379">
        <f t="shared" si="22"/>
        <v>2000</v>
      </c>
    </row>
    <row r="82" spans="1:17" s="325" customFormat="1" ht="20.25" customHeight="1" x14ac:dyDescent="0.25">
      <c r="A82" s="371"/>
      <c r="B82" s="380"/>
      <c r="C82" s="380"/>
      <c r="D82" s="381"/>
      <c r="E82" s="374">
        <v>325.73081100000002</v>
      </c>
      <c r="F82" s="375" t="s">
        <v>465</v>
      </c>
      <c r="G82" s="376">
        <v>2000</v>
      </c>
      <c r="H82" s="376">
        <v>700</v>
      </c>
      <c r="I82" s="376">
        <f t="shared" si="23"/>
        <v>2700</v>
      </c>
      <c r="J82" s="377">
        <v>1</v>
      </c>
      <c r="K82" s="377">
        <v>0</v>
      </c>
      <c r="L82" s="377">
        <v>0</v>
      </c>
      <c r="M82" s="378">
        <f t="shared" si="18"/>
        <v>1</v>
      </c>
      <c r="N82" s="379">
        <f t="shared" si="19"/>
        <v>2000</v>
      </c>
      <c r="O82" s="379">
        <f t="shared" si="20"/>
        <v>0</v>
      </c>
      <c r="P82" s="379">
        <f t="shared" si="21"/>
        <v>0</v>
      </c>
      <c r="Q82" s="379">
        <f t="shared" si="22"/>
        <v>2000</v>
      </c>
    </row>
    <row r="83" spans="1:17" s="325" customFormat="1" ht="20.25" customHeight="1" x14ac:dyDescent="0.25">
      <c r="A83" s="371"/>
      <c r="B83" s="380"/>
      <c r="C83" s="380"/>
      <c r="D83" s="381"/>
      <c r="E83" s="374">
        <v>325.73140599999999</v>
      </c>
      <c r="F83" s="375" t="s">
        <v>466</v>
      </c>
      <c r="G83" s="376">
        <v>400</v>
      </c>
      <c r="H83" s="376"/>
      <c r="I83" s="376">
        <f t="shared" si="23"/>
        <v>400</v>
      </c>
      <c r="J83" s="377">
        <v>1</v>
      </c>
      <c r="K83" s="377">
        <v>0</v>
      </c>
      <c r="L83" s="377">
        <v>0</v>
      </c>
      <c r="M83" s="378">
        <f t="shared" si="18"/>
        <v>1</v>
      </c>
      <c r="N83" s="379">
        <f t="shared" si="19"/>
        <v>400</v>
      </c>
      <c r="O83" s="379">
        <f t="shared" si="20"/>
        <v>0</v>
      </c>
      <c r="P83" s="379">
        <f t="shared" si="21"/>
        <v>0</v>
      </c>
      <c r="Q83" s="379">
        <f t="shared" si="22"/>
        <v>400</v>
      </c>
    </row>
    <row r="84" spans="1:17" s="325" customFormat="1" ht="45.75" customHeight="1" x14ac:dyDescent="0.25">
      <c r="A84" s="371"/>
      <c r="B84" s="380"/>
      <c r="C84" s="380"/>
      <c r="D84" s="381"/>
      <c r="E84" s="374" t="s">
        <v>467</v>
      </c>
      <c r="F84" s="375" t="s">
        <v>468</v>
      </c>
      <c r="G84" s="376">
        <v>500</v>
      </c>
      <c r="H84" s="376"/>
      <c r="I84" s="376">
        <f t="shared" si="23"/>
        <v>500</v>
      </c>
      <c r="J84" s="377">
        <v>0</v>
      </c>
      <c r="K84" s="377">
        <v>1</v>
      </c>
      <c r="L84" s="377">
        <v>0</v>
      </c>
      <c r="M84" s="378">
        <f t="shared" si="18"/>
        <v>1</v>
      </c>
      <c r="N84" s="379">
        <f t="shared" si="19"/>
        <v>0</v>
      </c>
      <c r="O84" s="379">
        <f t="shared" si="20"/>
        <v>500</v>
      </c>
      <c r="P84" s="379">
        <f t="shared" si="21"/>
        <v>0</v>
      </c>
      <c r="Q84" s="379">
        <f t="shared" si="22"/>
        <v>500</v>
      </c>
    </row>
    <row r="85" spans="1:17" s="325" customFormat="1" ht="45.75" customHeight="1" x14ac:dyDescent="0.25">
      <c r="A85" s="371"/>
      <c r="B85" s="380"/>
      <c r="C85" s="380"/>
      <c r="D85" s="381"/>
      <c r="E85" s="374">
        <v>325.730209</v>
      </c>
      <c r="F85" s="375" t="s">
        <v>469</v>
      </c>
      <c r="G85" s="376">
        <v>1500</v>
      </c>
      <c r="H85" s="376"/>
      <c r="I85" s="376">
        <f t="shared" si="23"/>
        <v>1500</v>
      </c>
      <c r="J85" s="377">
        <v>0</v>
      </c>
      <c r="K85" s="377">
        <v>1</v>
      </c>
      <c r="L85" s="377">
        <v>0</v>
      </c>
      <c r="M85" s="378">
        <f t="shared" si="18"/>
        <v>1</v>
      </c>
      <c r="N85" s="379">
        <f t="shared" si="19"/>
        <v>0</v>
      </c>
      <c r="O85" s="379">
        <f t="shared" si="20"/>
        <v>1500</v>
      </c>
      <c r="P85" s="379">
        <f t="shared" si="21"/>
        <v>0</v>
      </c>
      <c r="Q85" s="379">
        <f t="shared" si="22"/>
        <v>1500</v>
      </c>
    </row>
    <row r="86" spans="1:17" s="325" customFormat="1" ht="19.5" customHeight="1" x14ac:dyDescent="0.25">
      <c r="A86" s="371"/>
      <c r="B86" s="383"/>
      <c r="C86" s="383"/>
      <c r="D86" s="384"/>
      <c r="E86" s="374">
        <v>325.73081300000001</v>
      </c>
      <c r="F86" s="375" t="s">
        <v>26</v>
      </c>
      <c r="G86" s="376">
        <v>1300</v>
      </c>
      <c r="H86" s="376"/>
      <c r="I86" s="376">
        <f t="shared" si="23"/>
        <v>1300</v>
      </c>
      <c r="J86" s="377">
        <v>1</v>
      </c>
      <c r="K86" s="377">
        <v>0</v>
      </c>
      <c r="L86" s="377">
        <v>0</v>
      </c>
      <c r="M86" s="378">
        <f t="shared" si="18"/>
        <v>1</v>
      </c>
      <c r="N86" s="379">
        <f t="shared" si="19"/>
        <v>1300</v>
      </c>
      <c r="O86" s="379">
        <f t="shared" si="20"/>
        <v>0</v>
      </c>
      <c r="P86" s="379">
        <f t="shared" si="21"/>
        <v>0</v>
      </c>
      <c r="Q86" s="379">
        <f t="shared" si="22"/>
        <v>1300</v>
      </c>
    </row>
    <row r="87" spans="1:17" s="325" customFormat="1" ht="23.25" customHeight="1" x14ac:dyDescent="0.25">
      <c r="A87" s="371"/>
      <c r="B87" s="385" t="s">
        <v>470</v>
      </c>
      <c r="C87" s="385" t="s">
        <v>471</v>
      </c>
      <c r="D87" s="373" t="s">
        <v>472</v>
      </c>
      <c r="E87" s="374">
        <v>325.73080800000002</v>
      </c>
      <c r="F87" s="375" t="s">
        <v>473</v>
      </c>
      <c r="G87" s="376">
        <v>1500</v>
      </c>
      <c r="H87" s="376"/>
      <c r="I87" s="376">
        <f t="shared" si="23"/>
        <v>1500</v>
      </c>
      <c r="J87" s="377">
        <v>1</v>
      </c>
      <c r="K87" s="377">
        <v>0</v>
      </c>
      <c r="L87" s="377">
        <v>0</v>
      </c>
      <c r="M87" s="378">
        <f t="shared" si="18"/>
        <v>1</v>
      </c>
      <c r="N87" s="379">
        <f t="shared" si="19"/>
        <v>1500</v>
      </c>
      <c r="O87" s="379">
        <f t="shared" si="20"/>
        <v>0</v>
      </c>
      <c r="P87" s="379">
        <f t="shared" si="21"/>
        <v>0</v>
      </c>
      <c r="Q87" s="379">
        <f t="shared" si="22"/>
        <v>1500</v>
      </c>
    </row>
    <row r="88" spans="1:17" s="325" customFormat="1" ht="15" customHeight="1" x14ac:dyDescent="0.25">
      <c r="A88" s="371"/>
      <c r="B88" s="385"/>
      <c r="C88" s="385"/>
      <c r="D88" s="381"/>
      <c r="E88" s="374">
        <v>325.73080499999998</v>
      </c>
      <c r="F88" s="375" t="s">
        <v>41</v>
      </c>
      <c r="G88" s="376">
        <v>200</v>
      </c>
      <c r="H88" s="376"/>
      <c r="I88" s="376">
        <f t="shared" si="23"/>
        <v>200</v>
      </c>
      <c r="J88" s="377">
        <v>1</v>
      </c>
      <c r="K88" s="377">
        <v>0</v>
      </c>
      <c r="L88" s="377">
        <v>0</v>
      </c>
      <c r="M88" s="378">
        <f t="shared" si="18"/>
        <v>1</v>
      </c>
      <c r="N88" s="379">
        <f t="shared" si="19"/>
        <v>200</v>
      </c>
      <c r="O88" s="379">
        <f t="shared" si="20"/>
        <v>0</v>
      </c>
      <c r="P88" s="379">
        <f t="shared" si="21"/>
        <v>0</v>
      </c>
      <c r="Q88" s="379">
        <f t="shared" si="22"/>
        <v>200</v>
      </c>
    </row>
    <row r="89" spans="1:17" s="325" customFormat="1" ht="23.25" customHeight="1" x14ac:dyDescent="0.25">
      <c r="A89" s="371"/>
      <c r="B89" s="385"/>
      <c r="C89" s="385"/>
      <c r="D89" s="381"/>
      <c r="E89" s="374">
        <v>325.840104</v>
      </c>
      <c r="F89" s="375" t="s">
        <v>462</v>
      </c>
      <c r="G89" s="376">
        <v>1500</v>
      </c>
      <c r="H89" s="376"/>
      <c r="I89" s="376">
        <f t="shared" si="23"/>
        <v>1500</v>
      </c>
      <c r="J89" s="377">
        <v>0</v>
      </c>
      <c r="K89" s="377">
        <v>1</v>
      </c>
      <c r="L89" s="377">
        <v>0</v>
      </c>
      <c r="M89" s="378">
        <f t="shared" si="18"/>
        <v>1</v>
      </c>
      <c r="N89" s="379">
        <f t="shared" si="19"/>
        <v>0</v>
      </c>
      <c r="O89" s="379">
        <f t="shared" si="20"/>
        <v>1500</v>
      </c>
      <c r="P89" s="379">
        <f t="shared" si="21"/>
        <v>0</v>
      </c>
      <c r="Q89" s="379">
        <f t="shared" si="22"/>
        <v>1500</v>
      </c>
    </row>
    <row r="90" spans="1:17" s="325" customFormat="1" ht="36" x14ac:dyDescent="0.25">
      <c r="A90" s="386"/>
      <c r="B90" s="385"/>
      <c r="C90" s="385"/>
      <c r="D90" s="384"/>
      <c r="E90" s="374">
        <v>325.73082299999999</v>
      </c>
      <c r="F90" s="375" t="s">
        <v>474</v>
      </c>
      <c r="G90" s="376">
        <v>2545.79</v>
      </c>
      <c r="H90" s="376"/>
      <c r="I90" s="376">
        <f t="shared" si="23"/>
        <v>2545.79</v>
      </c>
      <c r="J90" s="377">
        <v>1</v>
      </c>
      <c r="K90" s="377">
        <v>0</v>
      </c>
      <c r="L90" s="377">
        <v>0</v>
      </c>
      <c r="M90" s="378">
        <f t="shared" si="18"/>
        <v>1</v>
      </c>
      <c r="N90" s="379">
        <f t="shared" si="19"/>
        <v>2545.79</v>
      </c>
      <c r="O90" s="379">
        <f t="shared" si="20"/>
        <v>0</v>
      </c>
      <c r="P90" s="379">
        <f t="shared" si="21"/>
        <v>0</v>
      </c>
      <c r="Q90" s="379">
        <f t="shared" si="22"/>
        <v>2545.79</v>
      </c>
    </row>
    <row r="91" spans="1:17" s="325" customFormat="1" ht="29.25" customHeight="1" x14ac:dyDescent="0.25">
      <c r="A91" s="387" t="s">
        <v>475</v>
      </c>
      <c r="B91" s="388"/>
      <c r="C91" s="388"/>
      <c r="D91" s="388"/>
      <c r="E91" s="388"/>
      <c r="F91" s="389"/>
      <c r="G91" s="390">
        <f>SUM(G64:G90)</f>
        <v>75690.12999999999</v>
      </c>
      <c r="H91" s="390"/>
      <c r="I91" s="390"/>
      <c r="J91" s="391"/>
      <c r="K91" s="391"/>
      <c r="L91" s="391"/>
      <c r="M91" s="391"/>
      <c r="N91" s="391"/>
      <c r="O91" s="391"/>
      <c r="P91" s="392"/>
      <c r="Q91" s="391"/>
    </row>
    <row r="92" spans="1:17" ht="21" customHeight="1" x14ac:dyDescent="0.25">
      <c r="A92" s="393" t="s">
        <v>476</v>
      </c>
      <c r="B92" s="394" t="s">
        <v>477</v>
      </c>
      <c r="C92" s="395" t="s">
        <v>478</v>
      </c>
      <c r="D92" s="396" t="s">
        <v>410</v>
      </c>
      <c r="E92" s="397">
        <v>330.710105</v>
      </c>
      <c r="F92" s="398" t="s">
        <v>125</v>
      </c>
      <c r="G92" s="399">
        <v>29088</v>
      </c>
      <c r="H92" s="399"/>
      <c r="I92" s="399">
        <f t="shared" si="23"/>
        <v>29088</v>
      </c>
      <c r="J92" s="400">
        <v>0.33329999999999999</v>
      </c>
      <c r="K92" s="400">
        <v>0.33329999999999999</v>
      </c>
      <c r="L92" s="400">
        <v>0.33329999999999999</v>
      </c>
      <c r="M92" s="401">
        <f t="shared" ref="M92:M100" si="24">SUM(J92:L92)</f>
        <v>0.99990000000000001</v>
      </c>
      <c r="N92" s="402">
        <f t="shared" ref="N92:N104" si="25">+G92*J92</f>
        <v>9695.0303999999996</v>
      </c>
      <c r="O92" s="402">
        <f t="shared" ref="O92:O104" si="26">+G92*K92</f>
        <v>9695.0303999999996</v>
      </c>
      <c r="P92" s="402">
        <f t="shared" ref="P92:P104" si="27">+G92*L92</f>
        <v>9695.0303999999996</v>
      </c>
      <c r="Q92" s="402">
        <f t="shared" ref="Q92:Q123" si="28">SUM(N92:P92)</f>
        <v>29085.091199999999</v>
      </c>
    </row>
    <row r="93" spans="1:17" ht="21" customHeight="1" x14ac:dyDescent="0.25">
      <c r="A93" s="403"/>
      <c r="B93" s="404"/>
      <c r="C93" s="395"/>
      <c r="D93" s="396"/>
      <c r="E93" s="397">
        <v>330.71020299999998</v>
      </c>
      <c r="F93" s="398" t="s">
        <v>479</v>
      </c>
      <c r="G93" s="399">
        <v>2424</v>
      </c>
      <c r="H93" s="399"/>
      <c r="I93" s="399">
        <f t="shared" si="23"/>
        <v>2424</v>
      </c>
      <c r="J93" s="400">
        <v>0.33329999999999999</v>
      </c>
      <c r="K93" s="400">
        <v>0.33329999999999999</v>
      </c>
      <c r="L93" s="400">
        <v>0.33329999999999999</v>
      </c>
      <c r="M93" s="401">
        <f t="shared" si="24"/>
        <v>0.99990000000000001</v>
      </c>
      <c r="N93" s="402">
        <f t="shared" si="25"/>
        <v>807.91919999999993</v>
      </c>
      <c r="O93" s="402">
        <f t="shared" si="26"/>
        <v>807.91919999999993</v>
      </c>
      <c r="P93" s="402">
        <f t="shared" si="27"/>
        <v>807.91919999999993</v>
      </c>
      <c r="Q93" s="402">
        <f t="shared" si="28"/>
        <v>2423.7575999999999</v>
      </c>
    </row>
    <row r="94" spans="1:17" ht="21" customHeight="1" x14ac:dyDescent="0.25">
      <c r="A94" s="403"/>
      <c r="B94" s="404"/>
      <c r="C94" s="395"/>
      <c r="D94" s="396"/>
      <c r="E94" s="397">
        <v>330.71020399999998</v>
      </c>
      <c r="F94" s="398" t="s">
        <v>480</v>
      </c>
      <c r="G94" s="399">
        <v>850</v>
      </c>
      <c r="H94" s="399"/>
      <c r="I94" s="399">
        <f t="shared" si="23"/>
        <v>850</v>
      </c>
      <c r="J94" s="400">
        <v>0.33329999999999999</v>
      </c>
      <c r="K94" s="400">
        <v>0.33329999999999999</v>
      </c>
      <c r="L94" s="400">
        <v>0.33329999999999999</v>
      </c>
      <c r="M94" s="401">
        <f t="shared" si="24"/>
        <v>0.99990000000000001</v>
      </c>
      <c r="N94" s="402">
        <f t="shared" si="25"/>
        <v>283.30500000000001</v>
      </c>
      <c r="O94" s="402">
        <f t="shared" si="26"/>
        <v>283.30500000000001</v>
      </c>
      <c r="P94" s="402">
        <f t="shared" si="27"/>
        <v>283.30500000000001</v>
      </c>
      <c r="Q94" s="402">
        <f t="shared" si="28"/>
        <v>849.91499999999996</v>
      </c>
    </row>
    <row r="95" spans="1:17" ht="21" customHeight="1" x14ac:dyDescent="0.25">
      <c r="A95" s="403"/>
      <c r="B95" s="404"/>
      <c r="C95" s="395"/>
      <c r="D95" s="396"/>
      <c r="E95" s="397">
        <v>330.710601</v>
      </c>
      <c r="F95" s="398" t="s">
        <v>481</v>
      </c>
      <c r="G95" s="399">
        <v>3388.75</v>
      </c>
      <c r="H95" s="399"/>
      <c r="I95" s="399">
        <f t="shared" si="23"/>
        <v>3388.75</v>
      </c>
      <c r="J95" s="400">
        <v>0.33329999999999999</v>
      </c>
      <c r="K95" s="400">
        <v>0.33329999999999999</v>
      </c>
      <c r="L95" s="400">
        <v>0.33329999999999999</v>
      </c>
      <c r="M95" s="401">
        <f t="shared" si="24"/>
        <v>0.99990000000000001</v>
      </c>
      <c r="N95" s="402">
        <f t="shared" si="25"/>
        <v>1129.4703749999999</v>
      </c>
      <c r="O95" s="402">
        <f t="shared" si="26"/>
        <v>1129.4703749999999</v>
      </c>
      <c r="P95" s="402">
        <f t="shared" si="27"/>
        <v>1129.4703749999999</v>
      </c>
      <c r="Q95" s="402">
        <f t="shared" si="28"/>
        <v>3388.4111249999996</v>
      </c>
    </row>
    <row r="96" spans="1:17" ht="21" customHeight="1" x14ac:dyDescent="0.25">
      <c r="A96" s="403"/>
      <c r="B96" s="404"/>
      <c r="C96" s="395"/>
      <c r="D96" s="396"/>
      <c r="E96" s="397">
        <v>330.71060199999999</v>
      </c>
      <c r="F96" s="398" t="s">
        <v>482</v>
      </c>
      <c r="G96" s="399">
        <v>2424</v>
      </c>
      <c r="H96" s="399"/>
      <c r="I96" s="399">
        <f t="shared" si="23"/>
        <v>2424</v>
      </c>
      <c r="J96" s="400">
        <v>0.33329999999999999</v>
      </c>
      <c r="K96" s="400">
        <v>0.33329999999999999</v>
      </c>
      <c r="L96" s="400">
        <v>0.33329999999999999</v>
      </c>
      <c r="M96" s="401">
        <f t="shared" si="24"/>
        <v>0.99990000000000001</v>
      </c>
      <c r="N96" s="402">
        <f t="shared" si="25"/>
        <v>807.91919999999993</v>
      </c>
      <c r="O96" s="402">
        <f t="shared" si="26"/>
        <v>807.91919999999993</v>
      </c>
      <c r="P96" s="402">
        <f t="shared" si="27"/>
        <v>807.91919999999993</v>
      </c>
      <c r="Q96" s="402">
        <f t="shared" si="28"/>
        <v>2423.7575999999999</v>
      </c>
    </row>
    <row r="97" spans="1:17" ht="21" customHeight="1" x14ac:dyDescent="0.25">
      <c r="A97" s="403"/>
      <c r="B97" s="404"/>
      <c r="C97" s="395"/>
      <c r="D97" s="396"/>
      <c r="E97" s="397">
        <v>330.73080399999998</v>
      </c>
      <c r="F97" s="398" t="s">
        <v>483</v>
      </c>
      <c r="G97" s="399">
        <v>300</v>
      </c>
      <c r="H97" s="399"/>
      <c r="I97" s="399">
        <f t="shared" si="23"/>
        <v>300</v>
      </c>
      <c r="J97" s="400">
        <v>1</v>
      </c>
      <c r="K97" s="400">
        <v>0</v>
      </c>
      <c r="L97" s="400">
        <v>0</v>
      </c>
      <c r="M97" s="401">
        <f t="shared" si="24"/>
        <v>1</v>
      </c>
      <c r="N97" s="402">
        <f t="shared" si="25"/>
        <v>300</v>
      </c>
      <c r="O97" s="402">
        <f t="shared" si="26"/>
        <v>0</v>
      </c>
      <c r="P97" s="402">
        <f t="shared" si="27"/>
        <v>0</v>
      </c>
      <c r="Q97" s="402">
        <f t="shared" si="28"/>
        <v>300</v>
      </c>
    </row>
    <row r="98" spans="1:17" ht="21" customHeight="1" x14ac:dyDescent="0.25">
      <c r="A98" s="403"/>
      <c r="B98" s="404"/>
      <c r="C98" s="395"/>
      <c r="D98" s="396"/>
      <c r="E98" s="397">
        <v>330.840103</v>
      </c>
      <c r="F98" s="398" t="s">
        <v>28</v>
      </c>
      <c r="G98" s="399">
        <v>600</v>
      </c>
      <c r="H98" s="399"/>
      <c r="I98" s="399">
        <f t="shared" si="23"/>
        <v>600</v>
      </c>
      <c r="J98" s="400">
        <v>1</v>
      </c>
      <c r="K98" s="400">
        <v>0</v>
      </c>
      <c r="L98" s="400">
        <v>0</v>
      </c>
      <c r="M98" s="401">
        <f t="shared" si="24"/>
        <v>1</v>
      </c>
      <c r="N98" s="402">
        <f t="shared" si="25"/>
        <v>600</v>
      </c>
      <c r="O98" s="402">
        <f t="shared" si="26"/>
        <v>0</v>
      </c>
      <c r="P98" s="402">
        <f t="shared" si="27"/>
        <v>0</v>
      </c>
      <c r="Q98" s="402">
        <f t="shared" si="28"/>
        <v>600</v>
      </c>
    </row>
    <row r="99" spans="1:17" ht="21" customHeight="1" x14ac:dyDescent="0.25">
      <c r="A99" s="403"/>
      <c r="B99" s="404"/>
      <c r="C99" s="405" t="s">
        <v>484</v>
      </c>
      <c r="D99" s="405" t="s">
        <v>485</v>
      </c>
      <c r="E99" s="397">
        <v>330.73060900000002</v>
      </c>
      <c r="F99" s="398" t="s">
        <v>486</v>
      </c>
      <c r="G99" s="399">
        <v>800</v>
      </c>
      <c r="H99" s="399"/>
      <c r="I99" s="399">
        <f t="shared" si="23"/>
        <v>800</v>
      </c>
      <c r="J99" s="400">
        <v>0</v>
      </c>
      <c r="K99" s="400">
        <v>0</v>
      </c>
      <c r="L99" s="400">
        <v>1</v>
      </c>
      <c r="M99" s="401">
        <f t="shared" si="24"/>
        <v>1</v>
      </c>
      <c r="N99" s="402">
        <f t="shared" si="25"/>
        <v>0</v>
      </c>
      <c r="O99" s="402">
        <f t="shared" si="26"/>
        <v>0</v>
      </c>
      <c r="P99" s="402">
        <f t="shared" si="27"/>
        <v>800</v>
      </c>
      <c r="Q99" s="402">
        <f t="shared" si="28"/>
        <v>800</v>
      </c>
    </row>
    <row r="100" spans="1:17" ht="36" customHeight="1" x14ac:dyDescent="0.25">
      <c r="A100" s="403"/>
      <c r="B100" s="404"/>
      <c r="C100" s="405" t="s">
        <v>487</v>
      </c>
      <c r="D100" s="405" t="s">
        <v>488</v>
      </c>
      <c r="E100" s="397">
        <v>330.77010200000001</v>
      </c>
      <c r="F100" s="398" t="s">
        <v>489</v>
      </c>
      <c r="G100" s="399">
        <v>1300</v>
      </c>
      <c r="H100" s="399"/>
      <c r="I100" s="399">
        <f t="shared" si="23"/>
        <v>1300</v>
      </c>
      <c r="J100" s="400">
        <v>0.4</v>
      </c>
      <c r="K100" s="400">
        <v>0.3</v>
      </c>
      <c r="L100" s="400">
        <v>0.3</v>
      </c>
      <c r="M100" s="401">
        <f t="shared" si="24"/>
        <v>1</v>
      </c>
      <c r="N100" s="402">
        <f t="shared" si="25"/>
        <v>520</v>
      </c>
      <c r="O100" s="402">
        <f t="shared" si="26"/>
        <v>390</v>
      </c>
      <c r="P100" s="402">
        <f t="shared" si="27"/>
        <v>390</v>
      </c>
      <c r="Q100" s="402">
        <f t="shared" si="28"/>
        <v>1300</v>
      </c>
    </row>
    <row r="101" spans="1:17" ht="16.5" customHeight="1" x14ac:dyDescent="0.25">
      <c r="A101" s="403"/>
      <c r="B101" s="404"/>
      <c r="C101" s="405" t="s">
        <v>490</v>
      </c>
      <c r="D101" s="405" t="s">
        <v>491</v>
      </c>
      <c r="E101" s="397">
        <v>330.840104</v>
      </c>
      <c r="F101" s="398" t="s">
        <v>174</v>
      </c>
      <c r="G101" s="399">
        <v>300</v>
      </c>
      <c r="H101" s="399"/>
      <c r="I101" s="399">
        <f t="shared" si="23"/>
        <v>300</v>
      </c>
      <c r="J101" s="400"/>
      <c r="K101" s="400"/>
      <c r="L101" s="400">
        <v>1</v>
      </c>
      <c r="M101" s="401"/>
      <c r="N101" s="402">
        <f t="shared" si="25"/>
        <v>0</v>
      </c>
      <c r="O101" s="402">
        <f t="shared" si="26"/>
        <v>0</v>
      </c>
      <c r="P101" s="402">
        <f t="shared" si="27"/>
        <v>300</v>
      </c>
      <c r="Q101" s="402">
        <f t="shared" si="28"/>
        <v>300</v>
      </c>
    </row>
    <row r="102" spans="1:17" ht="24" x14ac:dyDescent="0.25">
      <c r="A102" s="403"/>
      <c r="B102" s="406"/>
      <c r="C102" s="407" t="s">
        <v>492</v>
      </c>
      <c r="D102" s="408"/>
      <c r="E102" s="397">
        <v>330.731515</v>
      </c>
      <c r="F102" s="398" t="s">
        <v>418</v>
      </c>
      <c r="G102" s="399">
        <v>1000</v>
      </c>
      <c r="H102" s="399"/>
      <c r="I102" s="399">
        <f t="shared" si="23"/>
        <v>1000</v>
      </c>
      <c r="J102" s="400"/>
      <c r="K102" s="400"/>
      <c r="L102" s="400"/>
      <c r="M102" s="401"/>
      <c r="N102" s="402">
        <f t="shared" si="25"/>
        <v>0</v>
      </c>
      <c r="O102" s="402">
        <f t="shared" si="26"/>
        <v>0</v>
      </c>
      <c r="P102" s="402">
        <f t="shared" si="27"/>
        <v>0</v>
      </c>
      <c r="Q102" s="402">
        <f t="shared" si="28"/>
        <v>0</v>
      </c>
    </row>
    <row r="103" spans="1:17" ht="39.75" customHeight="1" x14ac:dyDescent="0.25">
      <c r="A103" s="403"/>
      <c r="B103" s="409" t="s">
        <v>493</v>
      </c>
      <c r="C103" s="394" t="s">
        <v>494</v>
      </c>
      <c r="D103" s="394" t="s">
        <v>495</v>
      </c>
      <c r="E103" s="397">
        <v>330.73020700000001</v>
      </c>
      <c r="F103" s="398" t="s">
        <v>496</v>
      </c>
      <c r="G103" s="399">
        <v>5759.1</v>
      </c>
      <c r="H103" s="399"/>
      <c r="I103" s="399">
        <f t="shared" si="23"/>
        <v>5759.1</v>
      </c>
      <c r="J103" s="400">
        <v>1</v>
      </c>
      <c r="K103" s="400"/>
      <c r="L103" s="400"/>
      <c r="M103" s="401"/>
      <c r="N103" s="402">
        <f t="shared" si="25"/>
        <v>5759.1</v>
      </c>
      <c r="O103" s="402">
        <f t="shared" si="26"/>
        <v>0</v>
      </c>
      <c r="P103" s="402">
        <f t="shared" si="27"/>
        <v>0</v>
      </c>
      <c r="Q103" s="402">
        <f t="shared" si="28"/>
        <v>5759.1</v>
      </c>
    </row>
    <row r="104" spans="1:17" ht="21" customHeight="1" x14ac:dyDescent="0.25">
      <c r="A104" s="403"/>
      <c r="B104" s="409"/>
      <c r="C104" s="406"/>
      <c r="D104" s="406"/>
      <c r="E104" s="397" t="s">
        <v>497</v>
      </c>
      <c r="F104" s="398" t="s">
        <v>498</v>
      </c>
      <c r="G104" s="399">
        <v>6680</v>
      </c>
      <c r="H104" s="399"/>
      <c r="I104" s="399">
        <f t="shared" si="23"/>
        <v>6680</v>
      </c>
      <c r="J104" s="400">
        <v>1</v>
      </c>
      <c r="K104" s="400"/>
      <c r="L104" s="400"/>
      <c r="M104" s="401"/>
      <c r="N104" s="402">
        <f t="shared" si="25"/>
        <v>6680</v>
      </c>
      <c r="O104" s="402">
        <f t="shared" si="26"/>
        <v>0</v>
      </c>
      <c r="P104" s="402">
        <f t="shared" si="27"/>
        <v>0</v>
      </c>
      <c r="Q104" s="402">
        <f t="shared" si="28"/>
        <v>6680</v>
      </c>
    </row>
    <row r="105" spans="1:17" s="325" customFormat="1" ht="21" customHeight="1" x14ac:dyDescent="0.25">
      <c r="A105" s="403"/>
      <c r="B105" s="394" t="s">
        <v>499</v>
      </c>
      <c r="C105" s="410" t="s">
        <v>500</v>
      </c>
      <c r="D105" s="410" t="s">
        <v>410</v>
      </c>
      <c r="E105" s="397">
        <v>710510</v>
      </c>
      <c r="F105" s="411" t="s">
        <v>501</v>
      </c>
      <c r="G105" s="399">
        <v>13032</v>
      </c>
      <c r="H105" s="399"/>
      <c r="I105" s="399">
        <f t="shared" si="23"/>
        <v>13032</v>
      </c>
      <c r="J105" s="400">
        <v>0.33329999999999999</v>
      </c>
      <c r="K105" s="400">
        <v>0.33329999999999999</v>
      </c>
      <c r="L105" s="400">
        <v>0.33329999999999999</v>
      </c>
      <c r="M105" s="401">
        <f t="shared" ref="M105:M123" si="29">SUM(J105:L105)</f>
        <v>0.99990000000000001</v>
      </c>
      <c r="N105" s="402">
        <f>+G111*J105</f>
        <v>333.3</v>
      </c>
      <c r="O105" s="402">
        <f>+G111*K105</f>
        <v>333.3</v>
      </c>
      <c r="P105" s="402">
        <f>+G111*L105</f>
        <v>333.3</v>
      </c>
      <c r="Q105" s="402">
        <f t="shared" si="28"/>
        <v>999.90000000000009</v>
      </c>
    </row>
    <row r="106" spans="1:17" s="325" customFormat="1" ht="21" customHeight="1" x14ac:dyDescent="0.25">
      <c r="A106" s="403"/>
      <c r="B106" s="404"/>
      <c r="C106" s="412"/>
      <c r="D106" s="412"/>
      <c r="E106" s="397">
        <v>710203</v>
      </c>
      <c r="F106" s="411" t="s">
        <v>479</v>
      </c>
      <c r="G106" s="399">
        <v>1100</v>
      </c>
      <c r="H106" s="399"/>
      <c r="I106" s="399">
        <f t="shared" si="23"/>
        <v>1100</v>
      </c>
      <c r="J106" s="400">
        <v>0.33329999999999999</v>
      </c>
      <c r="K106" s="400">
        <v>0.33329999999999999</v>
      </c>
      <c r="L106" s="400">
        <v>0.33329999999999999</v>
      </c>
      <c r="M106" s="401">
        <f t="shared" si="29"/>
        <v>0.99990000000000001</v>
      </c>
      <c r="N106" s="402">
        <f t="shared" ref="N106:N123" si="30">+G112*J106</f>
        <v>4279.5720000000001</v>
      </c>
      <c r="O106" s="402">
        <f t="shared" ref="O106:O123" si="31">+G112*K106</f>
        <v>4279.5720000000001</v>
      </c>
      <c r="P106" s="402">
        <f t="shared" ref="P106:P123" si="32">+G112*L106</f>
        <v>4279.5720000000001</v>
      </c>
      <c r="Q106" s="402">
        <f t="shared" si="28"/>
        <v>12838.716</v>
      </c>
    </row>
    <row r="107" spans="1:17" s="325" customFormat="1" ht="21" customHeight="1" x14ac:dyDescent="0.25">
      <c r="A107" s="403"/>
      <c r="B107" s="404"/>
      <c r="C107" s="412"/>
      <c r="D107" s="412"/>
      <c r="E107" s="397">
        <v>710204</v>
      </c>
      <c r="F107" s="411" t="s">
        <v>480</v>
      </c>
      <c r="G107" s="399">
        <v>425</v>
      </c>
      <c r="H107" s="399"/>
      <c r="I107" s="399">
        <f t="shared" si="23"/>
        <v>425</v>
      </c>
      <c r="J107" s="400">
        <v>0.33329999999999999</v>
      </c>
      <c r="K107" s="400">
        <v>0.33329999999999999</v>
      </c>
      <c r="L107" s="400">
        <v>0.33329999999999999</v>
      </c>
      <c r="M107" s="401">
        <f t="shared" si="29"/>
        <v>0.99990000000000001</v>
      </c>
      <c r="N107" s="402">
        <f t="shared" si="30"/>
        <v>3455.6543999999999</v>
      </c>
      <c r="O107" s="402">
        <f t="shared" si="31"/>
        <v>3455.6543999999999</v>
      </c>
      <c r="P107" s="402">
        <f t="shared" si="32"/>
        <v>3455.6543999999999</v>
      </c>
      <c r="Q107" s="402">
        <f t="shared" si="28"/>
        <v>10366.9632</v>
      </c>
    </row>
    <row r="108" spans="1:17" s="325" customFormat="1" ht="21" customHeight="1" x14ac:dyDescent="0.25">
      <c r="A108" s="403"/>
      <c r="B108" s="404"/>
      <c r="C108" s="412"/>
      <c r="D108" s="412"/>
      <c r="E108" s="397">
        <v>710601</v>
      </c>
      <c r="F108" s="411" t="s">
        <v>481</v>
      </c>
      <c r="G108" s="399">
        <f>1518.23+985.75-964.75</f>
        <v>1539.23</v>
      </c>
      <c r="H108" s="399"/>
      <c r="I108" s="399">
        <f t="shared" si="23"/>
        <v>1539.23</v>
      </c>
      <c r="J108" s="400">
        <v>0.33329999999999999</v>
      </c>
      <c r="K108" s="400">
        <v>0.33329999999999999</v>
      </c>
      <c r="L108" s="400">
        <v>0.33329999999999999</v>
      </c>
      <c r="M108" s="401">
        <f t="shared" si="29"/>
        <v>0.99990000000000001</v>
      </c>
      <c r="N108" s="402">
        <f t="shared" si="30"/>
        <v>639.93599999999992</v>
      </c>
      <c r="O108" s="402">
        <f t="shared" si="31"/>
        <v>639.93599999999992</v>
      </c>
      <c r="P108" s="402">
        <f t="shared" si="32"/>
        <v>639.93599999999992</v>
      </c>
      <c r="Q108" s="402">
        <f t="shared" si="28"/>
        <v>1919.8079999999998</v>
      </c>
    </row>
    <row r="109" spans="1:17" s="325" customFormat="1" ht="21" customHeight="1" x14ac:dyDescent="0.25">
      <c r="A109" s="403"/>
      <c r="B109" s="404"/>
      <c r="C109" s="412"/>
      <c r="D109" s="412"/>
      <c r="E109" s="397">
        <v>710602</v>
      </c>
      <c r="F109" s="411" t="s">
        <v>482</v>
      </c>
      <c r="G109" s="399">
        <v>1100</v>
      </c>
      <c r="H109" s="399"/>
      <c r="I109" s="399">
        <f t="shared" si="23"/>
        <v>1100</v>
      </c>
      <c r="J109" s="400">
        <v>0.33329999999999999</v>
      </c>
      <c r="K109" s="400">
        <v>0.33329999999999999</v>
      </c>
      <c r="L109" s="400">
        <v>0.33329999999999999</v>
      </c>
      <c r="M109" s="401">
        <f t="shared" si="29"/>
        <v>0.99990000000000001</v>
      </c>
      <c r="N109" s="402">
        <f t="shared" si="30"/>
        <v>566.61</v>
      </c>
      <c r="O109" s="402">
        <f t="shared" si="31"/>
        <v>566.61</v>
      </c>
      <c r="P109" s="402">
        <f t="shared" si="32"/>
        <v>566.61</v>
      </c>
      <c r="Q109" s="402">
        <f t="shared" si="28"/>
        <v>1699.83</v>
      </c>
    </row>
    <row r="110" spans="1:17" s="325" customFormat="1" ht="21" customHeight="1" x14ac:dyDescent="0.25">
      <c r="A110" s="403"/>
      <c r="B110" s="404"/>
      <c r="C110" s="413"/>
      <c r="D110" s="413"/>
      <c r="E110" s="414">
        <v>730804</v>
      </c>
      <c r="F110" s="415" t="s">
        <v>483</v>
      </c>
      <c r="G110" s="399">
        <v>200</v>
      </c>
      <c r="H110" s="399"/>
      <c r="I110" s="399">
        <f t="shared" si="23"/>
        <v>200</v>
      </c>
      <c r="J110" s="400">
        <v>1</v>
      </c>
      <c r="K110" s="400">
        <v>1</v>
      </c>
      <c r="L110" s="400">
        <v>0</v>
      </c>
      <c r="M110" s="401">
        <f t="shared" si="29"/>
        <v>2</v>
      </c>
      <c r="N110" s="402">
        <f t="shared" si="30"/>
        <v>2770.86</v>
      </c>
      <c r="O110" s="402">
        <f t="shared" si="31"/>
        <v>2770.86</v>
      </c>
      <c r="P110" s="402">
        <f t="shared" si="32"/>
        <v>0</v>
      </c>
      <c r="Q110" s="402">
        <f t="shared" si="28"/>
        <v>5541.72</v>
      </c>
    </row>
    <row r="111" spans="1:17" s="325" customFormat="1" ht="21" customHeight="1" x14ac:dyDescent="0.25">
      <c r="A111" s="403"/>
      <c r="B111" s="404"/>
      <c r="C111" s="416" t="s">
        <v>502</v>
      </c>
      <c r="D111" s="416" t="s">
        <v>410</v>
      </c>
      <c r="E111" s="414">
        <v>730803</v>
      </c>
      <c r="F111" s="415" t="s">
        <v>464</v>
      </c>
      <c r="G111" s="417">
        <v>1000</v>
      </c>
      <c r="H111" s="417"/>
      <c r="I111" s="399">
        <f t="shared" si="23"/>
        <v>1000</v>
      </c>
      <c r="J111" s="400">
        <v>0.33329999999999999</v>
      </c>
      <c r="K111" s="400">
        <v>0.33329999999999999</v>
      </c>
      <c r="L111" s="400">
        <v>0.33329999999999999</v>
      </c>
      <c r="M111" s="401">
        <f t="shared" si="29"/>
        <v>0.99990000000000001</v>
      </c>
      <c r="N111" s="402">
        <f t="shared" si="30"/>
        <v>639.93599999999992</v>
      </c>
      <c r="O111" s="402">
        <f t="shared" si="31"/>
        <v>639.93599999999992</v>
      </c>
      <c r="P111" s="402">
        <f t="shared" si="32"/>
        <v>639.93599999999992</v>
      </c>
      <c r="Q111" s="402">
        <f t="shared" si="28"/>
        <v>1919.8079999999998</v>
      </c>
    </row>
    <row r="112" spans="1:17" s="325" customFormat="1" ht="21" customHeight="1" x14ac:dyDescent="0.25">
      <c r="A112" s="403"/>
      <c r="B112" s="404"/>
      <c r="C112" s="418"/>
      <c r="D112" s="418"/>
      <c r="E112" s="414">
        <v>710105</v>
      </c>
      <c r="F112" s="415" t="s">
        <v>125</v>
      </c>
      <c r="G112" s="417">
        <v>12840</v>
      </c>
      <c r="H112" s="417"/>
      <c r="I112" s="399">
        <f t="shared" si="23"/>
        <v>12840</v>
      </c>
      <c r="J112" s="400">
        <v>0.33329999999999999</v>
      </c>
      <c r="K112" s="400">
        <v>0.33329999999999999</v>
      </c>
      <c r="L112" s="400">
        <v>0.33329999999999999</v>
      </c>
      <c r="M112" s="401">
        <f t="shared" si="29"/>
        <v>0.99990000000000001</v>
      </c>
      <c r="N112" s="402">
        <f t="shared" si="30"/>
        <v>87.991199999999992</v>
      </c>
      <c r="O112" s="402">
        <f t="shared" si="31"/>
        <v>87.991199999999992</v>
      </c>
      <c r="P112" s="402">
        <f t="shared" si="32"/>
        <v>87.991199999999992</v>
      </c>
      <c r="Q112" s="402">
        <f t="shared" si="28"/>
        <v>263.97359999999998</v>
      </c>
    </row>
    <row r="113" spans="1:18" s="325" customFormat="1" ht="21" customHeight="1" x14ac:dyDescent="0.25">
      <c r="A113" s="403"/>
      <c r="B113" s="404"/>
      <c r="C113" s="418"/>
      <c r="D113" s="418"/>
      <c r="E113" s="414">
        <v>710106</v>
      </c>
      <c r="F113" s="415" t="s">
        <v>503</v>
      </c>
      <c r="G113" s="417">
        <v>10368</v>
      </c>
      <c r="H113" s="417"/>
      <c r="I113" s="399">
        <f t="shared" si="23"/>
        <v>10368</v>
      </c>
      <c r="J113" s="400">
        <v>0.33329999999999999</v>
      </c>
      <c r="K113" s="400">
        <v>0.33329999999999999</v>
      </c>
      <c r="L113" s="400">
        <v>0.33329999999999999</v>
      </c>
      <c r="M113" s="401">
        <f t="shared" si="29"/>
        <v>0.99990000000000001</v>
      </c>
      <c r="N113" s="402">
        <f t="shared" si="30"/>
        <v>527.94719999999995</v>
      </c>
      <c r="O113" s="402">
        <f t="shared" si="31"/>
        <v>527.94719999999995</v>
      </c>
      <c r="P113" s="402">
        <f t="shared" si="32"/>
        <v>527.94719999999995</v>
      </c>
      <c r="Q113" s="402">
        <f t="shared" si="28"/>
        <v>1583.8415999999997</v>
      </c>
    </row>
    <row r="114" spans="1:18" s="325" customFormat="1" ht="21" customHeight="1" x14ac:dyDescent="0.25">
      <c r="A114" s="403"/>
      <c r="B114" s="404"/>
      <c r="C114" s="418"/>
      <c r="D114" s="418"/>
      <c r="E114" s="414">
        <v>710203</v>
      </c>
      <c r="F114" s="415" t="s">
        <v>479</v>
      </c>
      <c r="G114" s="417">
        <v>1920</v>
      </c>
      <c r="H114" s="417"/>
      <c r="I114" s="399">
        <f t="shared" si="23"/>
        <v>1920</v>
      </c>
      <c r="J114" s="400">
        <v>0.33329999999999999</v>
      </c>
      <c r="K114" s="400">
        <v>0.33329999999999999</v>
      </c>
      <c r="L114" s="400">
        <v>0.33329999999999999</v>
      </c>
      <c r="M114" s="401">
        <f t="shared" si="29"/>
        <v>0.99990000000000001</v>
      </c>
      <c r="N114" s="402">
        <f t="shared" si="30"/>
        <v>31.9968</v>
      </c>
      <c r="O114" s="402">
        <f t="shared" si="31"/>
        <v>31.9968</v>
      </c>
      <c r="P114" s="402">
        <f t="shared" si="32"/>
        <v>31.9968</v>
      </c>
      <c r="Q114" s="402">
        <f t="shared" si="28"/>
        <v>95.990399999999994</v>
      </c>
    </row>
    <row r="115" spans="1:18" s="325" customFormat="1" ht="21" customHeight="1" x14ac:dyDescent="0.25">
      <c r="A115" s="403"/>
      <c r="B115" s="404"/>
      <c r="C115" s="418"/>
      <c r="D115" s="418"/>
      <c r="E115" s="414">
        <v>710204</v>
      </c>
      <c r="F115" s="415" t="s">
        <v>480</v>
      </c>
      <c r="G115" s="417">
        <v>1700</v>
      </c>
      <c r="H115" s="417"/>
      <c r="I115" s="399">
        <f t="shared" si="23"/>
        <v>1700</v>
      </c>
      <c r="J115" s="400">
        <v>0.33329999999999999</v>
      </c>
      <c r="K115" s="400">
        <v>0.33329999999999999</v>
      </c>
      <c r="L115" s="400">
        <v>0.33329999999999999</v>
      </c>
      <c r="M115" s="401">
        <f t="shared" si="29"/>
        <v>0.99990000000000001</v>
      </c>
      <c r="N115" s="402">
        <f t="shared" si="30"/>
        <v>4.479552</v>
      </c>
      <c r="O115" s="402">
        <f t="shared" si="31"/>
        <v>4.479552</v>
      </c>
      <c r="P115" s="402">
        <f t="shared" si="32"/>
        <v>4.479552</v>
      </c>
      <c r="Q115" s="402">
        <f t="shared" si="28"/>
        <v>13.438656</v>
      </c>
    </row>
    <row r="116" spans="1:18" s="325" customFormat="1" ht="21" customHeight="1" x14ac:dyDescent="0.25">
      <c r="A116" s="403"/>
      <c r="B116" s="404"/>
      <c r="C116" s="418"/>
      <c r="D116" s="418"/>
      <c r="E116" s="414">
        <v>710601</v>
      </c>
      <c r="F116" s="415" t="s">
        <v>481</v>
      </c>
      <c r="G116" s="417">
        <v>2770.86</v>
      </c>
      <c r="H116" s="417"/>
      <c r="I116" s="399">
        <f t="shared" si="23"/>
        <v>2770.86</v>
      </c>
      <c r="J116" s="400">
        <v>0.33329999999999999</v>
      </c>
      <c r="K116" s="400">
        <v>0.33329999999999999</v>
      </c>
      <c r="L116" s="400">
        <v>0.33329999999999999</v>
      </c>
      <c r="M116" s="401">
        <f t="shared" si="29"/>
        <v>0.99990000000000001</v>
      </c>
      <c r="N116" s="402">
        <f t="shared" si="30"/>
        <v>40.895910000000001</v>
      </c>
      <c r="O116" s="402">
        <f t="shared" si="31"/>
        <v>40.895910000000001</v>
      </c>
      <c r="P116" s="402">
        <f t="shared" si="32"/>
        <v>40.895910000000001</v>
      </c>
      <c r="Q116" s="402">
        <f t="shared" si="28"/>
        <v>122.68773</v>
      </c>
    </row>
    <row r="117" spans="1:18" s="325" customFormat="1" ht="21" customHeight="1" x14ac:dyDescent="0.25">
      <c r="A117" s="403"/>
      <c r="B117" s="404"/>
      <c r="C117" s="418"/>
      <c r="D117" s="418"/>
      <c r="E117" s="414">
        <v>710602</v>
      </c>
      <c r="F117" s="415" t="s">
        <v>482</v>
      </c>
      <c r="G117" s="417">
        <v>1920</v>
      </c>
      <c r="H117" s="417"/>
      <c r="I117" s="399">
        <f t="shared" si="23"/>
        <v>1920</v>
      </c>
      <c r="J117" s="400">
        <v>0.33329999999999999</v>
      </c>
      <c r="K117" s="400">
        <v>0.33329999999999999</v>
      </c>
      <c r="L117" s="400">
        <v>0.33329999999999999</v>
      </c>
      <c r="M117" s="401">
        <f t="shared" si="29"/>
        <v>0.99990000000000001</v>
      </c>
      <c r="N117" s="402">
        <f t="shared" si="30"/>
        <v>33.33</v>
      </c>
      <c r="O117" s="402">
        <f t="shared" si="31"/>
        <v>33.33</v>
      </c>
      <c r="P117" s="402">
        <f t="shared" si="32"/>
        <v>33.33</v>
      </c>
      <c r="Q117" s="402">
        <f t="shared" si="28"/>
        <v>99.99</v>
      </c>
    </row>
    <row r="118" spans="1:18" s="325" customFormat="1" ht="21" customHeight="1" x14ac:dyDescent="0.25">
      <c r="A118" s="403"/>
      <c r="B118" s="404"/>
      <c r="C118" s="418"/>
      <c r="D118" s="418"/>
      <c r="E118" s="397">
        <v>710304</v>
      </c>
      <c r="F118" s="411" t="s">
        <v>504</v>
      </c>
      <c r="G118" s="417">
        <v>264</v>
      </c>
      <c r="H118" s="417"/>
      <c r="I118" s="399">
        <f t="shared" si="23"/>
        <v>264</v>
      </c>
      <c r="J118" s="400">
        <v>0.33329999999999999</v>
      </c>
      <c r="K118" s="400">
        <v>0.33329999999999999</v>
      </c>
      <c r="L118" s="400">
        <v>0.33329999999999999</v>
      </c>
      <c r="M118" s="401">
        <f t="shared" si="29"/>
        <v>0.99990000000000001</v>
      </c>
      <c r="N118" s="402">
        <f t="shared" si="30"/>
        <v>499.95</v>
      </c>
      <c r="O118" s="402">
        <f t="shared" si="31"/>
        <v>499.95</v>
      </c>
      <c r="P118" s="402">
        <f t="shared" si="32"/>
        <v>499.95</v>
      </c>
      <c r="Q118" s="402">
        <f t="shared" si="28"/>
        <v>1499.85</v>
      </c>
    </row>
    <row r="119" spans="1:18" s="325" customFormat="1" ht="21" customHeight="1" x14ac:dyDescent="0.25">
      <c r="A119" s="403"/>
      <c r="B119" s="404"/>
      <c r="C119" s="418"/>
      <c r="D119" s="418"/>
      <c r="E119" s="397">
        <v>710306</v>
      </c>
      <c r="F119" s="411" t="s">
        <v>505</v>
      </c>
      <c r="G119" s="417">
        <v>1584</v>
      </c>
      <c r="H119" s="417">
        <v>-150</v>
      </c>
      <c r="I119" s="399">
        <f t="shared" si="23"/>
        <v>1434</v>
      </c>
      <c r="J119" s="400">
        <v>0.33329999999999999</v>
      </c>
      <c r="K119" s="400">
        <v>0.33329999999999999</v>
      </c>
      <c r="L119" s="400">
        <v>0.33329999999999999</v>
      </c>
      <c r="M119" s="401">
        <f t="shared" si="29"/>
        <v>0.99990000000000001</v>
      </c>
      <c r="N119" s="402">
        <f t="shared" si="30"/>
        <v>433.28999999999996</v>
      </c>
      <c r="O119" s="402">
        <f t="shared" si="31"/>
        <v>433.28999999999996</v>
      </c>
      <c r="P119" s="402">
        <f t="shared" si="32"/>
        <v>433.28999999999996</v>
      </c>
      <c r="Q119" s="402">
        <f t="shared" si="28"/>
        <v>1299.8699999999999</v>
      </c>
    </row>
    <row r="120" spans="1:18" s="325" customFormat="1" ht="21" customHeight="1" x14ac:dyDescent="0.25">
      <c r="A120" s="403"/>
      <c r="B120" s="404"/>
      <c r="C120" s="418"/>
      <c r="D120" s="418"/>
      <c r="E120" s="397">
        <v>710401</v>
      </c>
      <c r="F120" s="411" t="s">
        <v>506</v>
      </c>
      <c r="G120" s="417">
        <v>96</v>
      </c>
      <c r="H120" s="417"/>
      <c r="I120" s="399">
        <f t="shared" si="23"/>
        <v>96</v>
      </c>
      <c r="J120" s="400">
        <v>0.33329999999999999</v>
      </c>
      <c r="K120" s="400">
        <v>0.33329999999999999</v>
      </c>
      <c r="L120" s="400">
        <v>0.33329999999999999</v>
      </c>
      <c r="M120" s="401">
        <f t="shared" si="29"/>
        <v>0.99990000000000001</v>
      </c>
      <c r="N120" s="402">
        <f t="shared" si="30"/>
        <v>3.3329999999999997</v>
      </c>
      <c r="O120" s="402">
        <f t="shared" si="31"/>
        <v>3.3329999999999997</v>
      </c>
      <c r="P120" s="402">
        <f t="shared" si="32"/>
        <v>3.3329999999999997</v>
      </c>
      <c r="Q120" s="402">
        <f t="shared" si="28"/>
        <v>9.9989999999999988</v>
      </c>
    </row>
    <row r="121" spans="1:18" s="325" customFormat="1" ht="21" customHeight="1" x14ac:dyDescent="0.25">
      <c r="A121" s="403"/>
      <c r="B121" s="404"/>
      <c r="C121" s="418"/>
      <c r="D121" s="418"/>
      <c r="E121" s="397">
        <v>710402</v>
      </c>
      <c r="F121" s="411" t="s">
        <v>507</v>
      </c>
      <c r="G121" s="417">
        <v>13.44</v>
      </c>
      <c r="H121" s="417"/>
      <c r="I121" s="399">
        <f t="shared" si="23"/>
        <v>13.44</v>
      </c>
      <c r="J121" s="400">
        <v>0.33329999999999999</v>
      </c>
      <c r="K121" s="400">
        <v>0.33329999999999999</v>
      </c>
      <c r="L121" s="400">
        <v>0.33329999999999999</v>
      </c>
      <c r="M121" s="401">
        <f t="shared" si="29"/>
        <v>0.99990000000000001</v>
      </c>
      <c r="N121" s="402">
        <f t="shared" si="30"/>
        <v>166.65</v>
      </c>
      <c r="O121" s="402">
        <f t="shared" si="31"/>
        <v>166.65</v>
      </c>
      <c r="P121" s="402">
        <f t="shared" si="32"/>
        <v>166.65</v>
      </c>
      <c r="Q121" s="402">
        <f t="shared" si="28"/>
        <v>499.95000000000005</v>
      </c>
    </row>
    <row r="122" spans="1:18" s="325" customFormat="1" ht="21" customHeight="1" x14ac:dyDescent="0.25">
      <c r="A122" s="403"/>
      <c r="B122" s="404"/>
      <c r="C122" s="418"/>
      <c r="D122" s="419"/>
      <c r="E122" s="397">
        <v>710408</v>
      </c>
      <c r="F122" s="411" t="s">
        <v>415</v>
      </c>
      <c r="G122" s="417">
        <v>122.7</v>
      </c>
      <c r="H122" s="417"/>
      <c r="I122" s="399">
        <f t="shared" si="23"/>
        <v>122.7</v>
      </c>
      <c r="J122" s="400">
        <v>0.33329999999999999</v>
      </c>
      <c r="K122" s="400">
        <v>0.33329999999999999</v>
      </c>
      <c r="L122" s="400">
        <v>0.33329999999999999</v>
      </c>
      <c r="M122" s="401">
        <f t="shared" si="29"/>
        <v>0.99990000000000001</v>
      </c>
      <c r="N122" s="402">
        <f t="shared" si="30"/>
        <v>599.93999999999994</v>
      </c>
      <c r="O122" s="402">
        <f t="shared" si="31"/>
        <v>599.93999999999994</v>
      </c>
      <c r="P122" s="402">
        <f t="shared" si="32"/>
        <v>599.93999999999994</v>
      </c>
      <c r="Q122" s="402">
        <f t="shared" si="28"/>
        <v>1799.8199999999997</v>
      </c>
    </row>
    <row r="123" spans="1:18" s="325" customFormat="1" ht="21" customHeight="1" x14ac:dyDescent="0.25">
      <c r="A123" s="403"/>
      <c r="B123" s="404"/>
      <c r="C123" s="418"/>
      <c r="D123" s="416" t="s">
        <v>508</v>
      </c>
      <c r="E123" s="414">
        <v>840105</v>
      </c>
      <c r="F123" s="415" t="s">
        <v>509</v>
      </c>
      <c r="G123" s="417">
        <v>100</v>
      </c>
      <c r="H123" s="417"/>
      <c r="I123" s="399">
        <f t="shared" si="23"/>
        <v>100</v>
      </c>
      <c r="J123" s="400">
        <v>0</v>
      </c>
      <c r="K123" s="400">
        <v>0</v>
      </c>
      <c r="L123" s="400">
        <v>1</v>
      </c>
      <c r="M123" s="401">
        <f t="shared" si="29"/>
        <v>1</v>
      </c>
      <c r="N123" s="402">
        <f t="shared" si="30"/>
        <v>0</v>
      </c>
      <c r="O123" s="402">
        <f t="shared" si="31"/>
        <v>0</v>
      </c>
      <c r="P123" s="402">
        <f t="shared" si="32"/>
        <v>1000</v>
      </c>
      <c r="Q123" s="402">
        <f t="shared" si="28"/>
        <v>1000</v>
      </c>
    </row>
    <row r="124" spans="1:18" s="325" customFormat="1" ht="37.5" customHeight="1" x14ac:dyDescent="0.25">
      <c r="A124" s="403"/>
      <c r="B124" s="404"/>
      <c r="C124" s="418"/>
      <c r="D124" s="418"/>
      <c r="E124" s="414">
        <v>730802</v>
      </c>
      <c r="F124" s="420" t="s">
        <v>510</v>
      </c>
      <c r="G124" s="399">
        <v>1500</v>
      </c>
      <c r="H124" s="399"/>
      <c r="I124" s="399">
        <f t="shared" si="23"/>
        <v>1500</v>
      </c>
      <c r="J124" s="400">
        <v>0</v>
      </c>
      <c r="K124" s="400">
        <v>1</v>
      </c>
      <c r="L124" s="400">
        <v>0</v>
      </c>
      <c r="M124" s="401">
        <f t="shared" ref="M124" si="33">SUM(J124:L124)</f>
        <v>1</v>
      </c>
      <c r="N124" s="402">
        <f t="shared" ref="N124:N127" si="34">+G124*J124</f>
        <v>0</v>
      </c>
      <c r="O124" s="402">
        <f t="shared" ref="O124:O127" si="35">+G124*K124</f>
        <v>1500</v>
      </c>
      <c r="P124" s="402">
        <f t="shared" ref="P124:P127" si="36">+G124*L124</f>
        <v>0</v>
      </c>
      <c r="Q124" s="402">
        <f t="shared" ref="Q124:Q127" si="37">SUM(N124:P124)</f>
        <v>1500</v>
      </c>
    </row>
    <row r="125" spans="1:18" s="325" customFormat="1" ht="21" customHeight="1" x14ac:dyDescent="0.25">
      <c r="A125" s="403"/>
      <c r="B125" s="404"/>
      <c r="C125" s="418"/>
      <c r="D125" s="418"/>
      <c r="E125" s="414">
        <v>840104</v>
      </c>
      <c r="F125" s="415" t="s">
        <v>511</v>
      </c>
      <c r="G125" s="399">
        <v>1300</v>
      </c>
      <c r="H125" s="399"/>
      <c r="I125" s="399">
        <f t="shared" si="23"/>
        <v>1300</v>
      </c>
      <c r="J125" s="400">
        <v>0</v>
      </c>
      <c r="K125" s="400">
        <v>1</v>
      </c>
      <c r="L125" s="400">
        <v>0</v>
      </c>
      <c r="M125" s="401">
        <f t="shared" ref="M125:M127" si="38">SUM(J125:L125)</f>
        <v>1</v>
      </c>
      <c r="N125" s="402">
        <f t="shared" si="34"/>
        <v>0</v>
      </c>
      <c r="O125" s="402">
        <f t="shared" si="35"/>
        <v>1300</v>
      </c>
      <c r="P125" s="402">
        <f t="shared" si="36"/>
        <v>0</v>
      </c>
      <c r="Q125" s="402">
        <f t="shared" si="37"/>
        <v>1300</v>
      </c>
      <c r="R125" s="325" t="s">
        <v>426</v>
      </c>
    </row>
    <row r="126" spans="1:18" s="325" customFormat="1" ht="21" customHeight="1" x14ac:dyDescent="0.25">
      <c r="A126" s="403"/>
      <c r="B126" s="404"/>
      <c r="C126" s="418"/>
      <c r="D126" s="418"/>
      <c r="E126" s="414">
        <v>730813</v>
      </c>
      <c r="F126" s="415" t="s">
        <v>33</v>
      </c>
      <c r="G126" s="399">
        <v>10</v>
      </c>
      <c r="H126" s="399"/>
      <c r="I126" s="399">
        <f t="shared" si="23"/>
        <v>10</v>
      </c>
      <c r="J126" s="400">
        <v>0</v>
      </c>
      <c r="K126" s="400">
        <v>1</v>
      </c>
      <c r="L126" s="400">
        <v>0</v>
      </c>
      <c r="M126" s="401">
        <f t="shared" si="38"/>
        <v>1</v>
      </c>
      <c r="N126" s="402">
        <f t="shared" si="34"/>
        <v>0</v>
      </c>
      <c r="O126" s="402">
        <f t="shared" si="35"/>
        <v>10</v>
      </c>
      <c r="P126" s="402">
        <f t="shared" si="36"/>
        <v>0</v>
      </c>
      <c r="Q126" s="402">
        <f t="shared" si="37"/>
        <v>10</v>
      </c>
    </row>
    <row r="127" spans="1:18" s="325" customFormat="1" ht="21" customHeight="1" x14ac:dyDescent="0.25">
      <c r="A127" s="403"/>
      <c r="B127" s="404"/>
      <c r="C127" s="418"/>
      <c r="D127" s="418"/>
      <c r="E127" s="414">
        <v>731406</v>
      </c>
      <c r="F127" s="415" t="s">
        <v>420</v>
      </c>
      <c r="G127" s="399">
        <v>500</v>
      </c>
      <c r="H127" s="399"/>
      <c r="I127" s="399">
        <f t="shared" si="23"/>
        <v>500</v>
      </c>
      <c r="J127" s="400">
        <v>0</v>
      </c>
      <c r="K127" s="400">
        <v>1</v>
      </c>
      <c r="L127" s="400">
        <v>0</v>
      </c>
      <c r="M127" s="401">
        <f t="shared" si="38"/>
        <v>1</v>
      </c>
      <c r="N127" s="402">
        <f t="shared" si="34"/>
        <v>0</v>
      </c>
      <c r="O127" s="402">
        <f t="shared" si="35"/>
        <v>500</v>
      </c>
      <c r="P127" s="402">
        <f t="shared" si="36"/>
        <v>0</v>
      </c>
      <c r="Q127" s="402">
        <f t="shared" si="37"/>
        <v>500</v>
      </c>
    </row>
    <row r="128" spans="1:18" s="325" customFormat="1" ht="21" customHeight="1" x14ac:dyDescent="0.25">
      <c r="A128" s="403"/>
      <c r="B128" s="404"/>
      <c r="C128" s="418"/>
      <c r="D128" s="418"/>
      <c r="E128" s="414">
        <v>730801</v>
      </c>
      <c r="F128" s="420" t="s">
        <v>512</v>
      </c>
      <c r="G128" s="399">
        <v>1800</v>
      </c>
      <c r="H128" s="399"/>
      <c r="I128" s="399">
        <f t="shared" si="23"/>
        <v>1800</v>
      </c>
      <c r="J128" s="400">
        <v>1</v>
      </c>
      <c r="K128" s="400">
        <v>0</v>
      </c>
      <c r="L128" s="400">
        <v>0</v>
      </c>
      <c r="M128" s="401">
        <f>SUM(J128:L128)</f>
        <v>1</v>
      </c>
      <c r="N128" s="402">
        <f>+G128*J128</f>
        <v>1800</v>
      </c>
      <c r="O128" s="402">
        <f>+G128*K128</f>
        <v>0</v>
      </c>
      <c r="P128" s="402">
        <f>+G128*L128</f>
        <v>0</v>
      </c>
      <c r="Q128" s="402">
        <f>SUM(N128:P128)</f>
        <v>1800</v>
      </c>
    </row>
    <row r="129" spans="1:18" s="325" customFormat="1" ht="29.25" customHeight="1" x14ac:dyDescent="0.25">
      <c r="A129" s="403"/>
      <c r="B129" s="404"/>
      <c r="C129" s="418"/>
      <c r="D129" s="418"/>
      <c r="E129" s="421">
        <v>730829</v>
      </c>
      <c r="F129" s="422" t="s">
        <v>513</v>
      </c>
      <c r="G129" s="399">
        <v>1000</v>
      </c>
      <c r="H129" s="399"/>
      <c r="I129" s="399">
        <f t="shared" si="23"/>
        <v>1000</v>
      </c>
      <c r="J129" s="400">
        <v>0</v>
      </c>
      <c r="K129" s="400">
        <v>1</v>
      </c>
      <c r="L129" s="400">
        <v>0</v>
      </c>
      <c r="M129" s="401">
        <f t="shared" ref="M129:M133" si="39">SUM(J129:L129)</f>
        <v>1</v>
      </c>
      <c r="N129" s="402">
        <f t="shared" ref="N129:N133" si="40">+G129*J129</f>
        <v>0</v>
      </c>
      <c r="O129" s="402">
        <f t="shared" ref="O129:O133" si="41">+G129*K129</f>
        <v>1000</v>
      </c>
      <c r="P129" s="402">
        <f t="shared" ref="P129:P133" si="42">+G129*L129</f>
        <v>0</v>
      </c>
      <c r="Q129" s="402">
        <f t="shared" ref="Q129:Q133" si="43">SUM(N129:P129)</f>
        <v>1000</v>
      </c>
    </row>
    <row r="130" spans="1:18" s="325" customFormat="1" ht="21" customHeight="1" x14ac:dyDescent="0.25">
      <c r="A130" s="403"/>
      <c r="B130" s="404"/>
      <c r="C130" s="418"/>
      <c r="D130" s="418"/>
      <c r="E130" s="421">
        <v>730204</v>
      </c>
      <c r="F130" s="422" t="s">
        <v>514</v>
      </c>
      <c r="G130" s="399">
        <v>200</v>
      </c>
      <c r="H130" s="399"/>
      <c r="I130" s="399">
        <f t="shared" si="23"/>
        <v>200</v>
      </c>
      <c r="J130" s="400">
        <v>0</v>
      </c>
      <c r="K130" s="400">
        <v>0.5</v>
      </c>
      <c r="L130" s="400">
        <v>0.5</v>
      </c>
      <c r="M130" s="401">
        <f t="shared" si="39"/>
        <v>1</v>
      </c>
      <c r="N130" s="402">
        <f t="shared" si="40"/>
        <v>0</v>
      </c>
      <c r="O130" s="402">
        <f t="shared" si="41"/>
        <v>100</v>
      </c>
      <c r="P130" s="402">
        <f t="shared" si="42"/>
        <v>100</v>
      </c>
      <c r="Q130" s="402">
        <f t="shared" si="43"/>
        <v>200</v>
      </c>
    </row>
    <row r="131" spans="1:18" s="325" customFormat="1" ht="33" customHeight="1" x14ac:dyDescent="0.25">
      <c r="A131" s="403"/>
      <c r="B131" s="404"/>
      <c r="C131" s="419"/>
      <c r="D131" s="419"/>
      <c r="E131" s="421">
        <v>730829</v>
      </c>
      <c r="F131" s="420" t="s">
        <v>513</v>
      </c>
      <c r="G131" s="417">
        <v>500</v>
      </c>
      <c r="H131" s="417"/>
      <c r="I131" s="399">
        <f t="shared" si="23"/>
        <v>500</v>
      </c>
      <c r="J131" s="400">
        <v>0</v>
      </c>
      <c r="K131" s="400">
        <v>1</v>
      </c>
      <c r="L131" s="400">
        <v>0</v>
      </c>
      <c r="M131" s="401">
        <f t="shared" si="39"/>
        <v>1</v>
      </c>
      <c r="N131" s="402">
        <f t="shared" si="40"/>
        <v>0</v>
      </c>
      <c r="O131" s="402">
        <f t="shared" si="41"/>
        <v>500</v>
      </c>
      <c r="P131" s="402">
        <f t="shared" si="42"/>
        <v>0</v>
      </c>
      <c r="Q131" s="402">
        <f t="shared" si="43"/>
        <v>500</v>
      </c>
    </row>
    <row r="132" spans="1:18" s="325" customFormat="1" ht="21" customHeight="1" x14ac:dyDescent="0.25">
      <c r="A132" s="403"/>
      <c r="B132" s="404"/>
      <c r="C132" s="416" t="s">
        <v>515</v>
      </c>
      <c r="D132" s="416" t="s">
        <v>516</v>
      </c>
      <c r="E132" s="414">
        <v>730836</v>
      </c>
      <c r="F132" s="415" t="s">
        <v>517</v>
      </c>
      <c r="G132" s="399">
        <v>1500</v>
      </c>
      <c r="H132" s="399"/>
      <c r="I132" s="399">
        <f t="shared" si="23"/>
        <v>1500</v>
      </c>
      <c r="J132" s="400">
        <v>0</v>
      </c>
      <c r="K132" s="400">
        <v>0</v>
      </c>
      <c r="L132" s="400">
        <v>1</v>
      </c>
      <c r="M132" s="401">
        <f t="shared" si="39"/>
        <v>1</v>
      </c>
      <c r="N132" s="402">
        <f t="shared" si="40"/>
        <v>0</v>
      </c>
      <c r="O132" s="402">
        <f t="shared" si="41"/>
        <v>0</v>
      </c>
      <c r="P132" s="402">
        <f t="shared" si="42"/>
        <v>1500</v>
      </c>
      <c r="Q132" s="402">
        <f t="shared" si="43"/>
        <v>1500</v>
      </c>
    </row>
    <row r="133" spans="1:18" s="325" customFormat="1" ht="21" customHeight="1" x14ac:dyDescent="0.25">
      <c r="A133" s="403"/>
      <c r="B133" s="404"/>
      <c r="C133" s="418"/>
      <c r="D133" s="418"/>
      <c r="E133" s="414">
        <v>730201</v>
      </c>
      <c r="F133" s="415" t="s">
        <v>518</v>
      </c>
      <c r="G133" s="417">
        <v>300</v>
      </c>
      <c r="H133" s="417"/>
      <c r="I133" s="399">
        <f t="shared" si="23"/>
        <v>300</v>
      </c>
      <c r="J133" s="400">
        <v>0.33329999999999999</v>
      </c>
      <c r="K133" s="400">
        <v>0.33329999999999999</v>
      </c>
      <c r="L133" s="400">
        <v>0.33329999999999999</v>
      </c>
      <c r="M133" s="401">
        <f t="shared" si="39"/>
        <v>0.99990000000000001</v>
      </c>
      <c r="N133" s="402">
        <f t="shared" si="40"/>
        <v>99.99</v>
      </c>
      <c r="O133" s="402">
        <f t="shared" si="41"/>
        <v>99.99</v>
      </c>
      <c r="P133" s="402">
        <f t="shared" si="42"/>
        <v>99.99</v>
      </c>
      <c r="Q133" s="402">
        <f t="shared" si="43"/>
        <v>299.96999999999997</v>
      </c>
    </row>
    <row r="134" spans="1:18" s="325" customFormat="1" ht="21" customHeight="1" x14ac:dyDescent="0.25">
      <c r="A134" s="403"/>
      <c r="B134" s="404"/>
      <c r="C134" s="418"/>
      <c r="D134" s="418"/>
      <c r="E134" s="423">
        <v>730235</v>
      </c>
      <c r="F134" s="420" t="s">
        <v>519</v>
      </c>
      <c r="G134" s="399">
        <v>250</v>
      </c>
      <c r="H134" s="399"/>
      <c r="I134" s="399">
        <f t="shared" si="23"/>
        <v>250</v>
      </c>
      <c r="J134" s="400">
        <v>0.33329999999999999</v>
      </c>
      <c r="K134" s="400">
        <v>0.33329999999999999</v>
      </c>
      <c r="L134" s="400">
        <v>0.33329999999999999</v>
      </c>
      <c r="M134" s="401">
        <f>SUM(J134:L134)</f>
        <v>0.99990000000000001</v>
      </c>
      <c r="N134" s="402">
        <f>+G134*J134</f>
        <v>83.325000000000003</v>
      </c>
      <c r="O134" s="402">
        <f>+G134*K134</f>
        <v>83.325000000000003</v>
      </c>
      <c r="P134" s="402">
        <f>+G134*L134</f>
        <v>83.325000000000003</v>
      </c>
      <c r="Q134" s="402">
        <f>SUM(N134:P134)</f>
        <v>249.97500000000002</v>
      </c>
    </row>
    <row r="135" spans="1:18" s="325" customFormat="1" ht="21" customHeight="1" x14ac:dyDescent="0.25">
      <c r="A135" s="403"/>
      <c r="B135" s="404"/>
      <c r="C135" s="418"/>
      <c r="D135" s="419"/>
      <c r="E135" s="414">
        <v>730601</v>
      </c>
      <c r="F135" s="420" t="s">
        <v>53</v>
      </c>
      <c r="G135" s="399">
        <v>600</v>
      </c>
      <c r="H135" s="399"/>
      <c r="I135" s="399">
        <f t="shared" si="23"/>
        <v>600</v>
      </c>
      <c r="J135" s="400">
        <v>0</v>
      </c>
      <c r="K135" s="400">
        <v>1</v>
      </c>
      <c r="L135" s="400">
        <v>0</v>
      </c>
      <c r="M135" s="401">
        <f>SUM(J135:L135)</f>
        <v>1</v>
      </c>
      <c r="N135" s="402">
        <f>+G135*J135</f>
        <v>0</v>
      </c>
      <c r="O135" s="402">
        <f>+G135*K135</f>
        <v>600</v>
      </c>
      <c r="P135" s="402">
        <f>+G135*L135</f>
        <v>0</v>
      </c>
      <c r="Q135" s="402">
        <f>SUM(N135:P135)</f>
        <v>600</v>
      </c>
    </row>
    <row r="136" spans="1:18" s="325" customFormat="1" ht="22.5" customHeight="1" x14ac:dyDescent="0.25">
      <c r="A136" s="403"/>
      <c r="B136" s="404"/>
      <c r="C136" s="416" t="s">
        <v>520</v>
      </c>
      <c r="D136" s="416" t="s">
        <v>521</v>
      </c>
      <c r="E136" s="421">
        <v>750105</v>
      </c>
      <c r="F136" s="420" t="s">
        <v>522</v>
      </c>
      <c r="G136" s="417">
        <v>500</v>
      </c>
      <c r="H136" s="417"/>
      <c r="I136" s="399">
        <f t="shared" si="23"/>
        <v>500</v>
      </c>
      <c r="J136" s="400">
        <v>0</v>
      </c>
      <c r="K136" s="400">
        <v>0</v>
      </c>
      <c r="L136" s="400">
        <v>1</v>
      </c>
      <c r="M136" s="401">
        <f>SUM(J136:L136)</f>
        <v>1</v>
      </c>
      <c r="N136" s="402">
        <f>+G136*J136</f>
        <v>0</v>
      </c>
      <c r="O136" s="402">
        <f>+G136*K136</f>
        <v>0</v>
      </c>
      <c r="P136" s="402">
        <f>+G136*L136</f>
        <v>500</v>
      </c>
      <c r="Q136" s="402">
        <f>SUM(N136:P136)</f>
        <v>500</v>
      </c>
    </row>
    <row r="137" spans="1:18" s="325" customFormat="1" ht="36" x14ac:dyDescent="0.25">
      <c r="A137" s="403"/>
      <c r="B137" s="404"/>
      <c r="C137" s="418"/>
      <c r="D137" s="418"/>
      <c r="E137" s="421">
        <v>730811</v>
      </c>
      <c r="F137" s="422" t="s">
        <v>523</v>
      </c>
      <c r="G137" s="417">
        <v>500</v>
      </c>
      <c r="H137" s="417"/>
      <c r="I137" s="399">
        <f t="shared" si="23"/>
        <v>500</v>
      </c>
      <c r="J137" s="400">
        <v>0</v>
      </c>
      <c r="K137" s="400">
        <v>0</v>
      </c>
      <c r="L137" s="400">
        <v>1</v>
      </c>
      <c r="M137" s="401">
        <f>SUM(J137:L137)</f>
        <v>1</v>
      </c>
      <c r="N137" s="402">
        <f>+G137*J137</f>
        <v>0</v>
      </c>
      <c r="O137" s="402">
        <f>+G137*K137</f>
        <v>0</v>
      </c>
      <c r="P137" s="402">
        <f>+G137*L137</f>
        <v>500</v>
      </c>
      <c r="Q137" s="402">
        <f>SUM(N137:P137)</f>
        <v>500</v>
      </c>
    </row>
    <row r="138" spans="1:18" s="325" customFormat="1" ht="21" customHeight="1" x14ac:dyDescent="0.25">
      <c r="A138" s="403"/>
      <c r="B138" s="406"/>
      <c r="C138" s="419"/>
      <c r="D138" s="419"/>
      <c r="E138" s="414">
        <v>840104</v>
      </c>
      <c r="F138" s="415" t="s">
        <v>524</v>
      </c>
      <c r="G138" s="399">
        <v>1000</v>
      </c>
      <c r="H138" s="399"/>
      <c r="I138" s="399">
        <f t="shared" si="23"/>
        <v>1000</v>
      </c>
      <c r="J138" s="400">
        <v>0</v>
      </c>
      <c r="K138" s="400">
        <v>1</v>
      </c>
      <c r="L138" s="400">
        <v>0</v>
      </c>
      <c r="M138" s="401">
        <f>SUM(J138:L138)</f>
        <v>1</v>
      </c>
      <c r="N138" s="402">
        <f>+G138*J138</f>
        <v>0</v>
      </c>
      <c r="O138" s="402">
        <f>+G138*K138</f>
        <v>1000</v>
      </c>
      <c r="P138" s="402">
        <f>+G138*L138</f>
        <v>0</v>
      </c>
      <c r="Q138" s="402">
        <f>SUM(N138:P138)</f>
        <v>1000</v>
      </c>
      <c r="R138" s="325" t="s">
        <v>426</v>
      </c>
    </row>
    <row r="139" spans="1:18" s="325" customFormat="1" ht="33" customHeight="1" x14ac:dyDescent="0.25">
      <c r="A139" s="337"/>
      <c r="B139" s="424"/>
      <c r="C139" s="425"/>
      <c r="D139" s="425"/>
      <c r="E139" s="426"/>
      <c r="F139" s="427" t="s">
        <v>525</v>
      </c>
      <c r="G139" s="428">
        <f>SUM(G92:G138)</f>
        <v>118469.08</v>
      </c>
      <c r="H139" s="428"/>
      <c r="I139" s="428"/>
      <c r="J139" s="425"/>
      <c r="K139" s="425"/>
      <c r="L139" s="425"/>
      <c r="M139" s="425"/>
      <c r="N139" s="425"/>
      <c r="O139" s="425"/>
      <c r="P139" s="425"/>
      <c r="Q139" s="429"/>
    </row>
    <row r="140" spans="1:18" ht="16.5" customHeight="1" x14ac:dyDescent="0.25">
      <c r="A140" s="430" t="s">
        <v>526</v>
      </c>
      <c r="B140" s="431" t="s">
        <v>527</v>
      </c>
      <c r="C140" s="432" t="s">
        <v>528</v>
      </c>
      <c r="D140" s="433" t="s">
        <v>410</v>
      </c>
      <c r="E140" s="434">
        <v>710105</v>
      </c>
      <c r="F140" s="435" t="s">
        <v>125</v>
      </c>
      <c r="G140" s="436">
        <v>26712</v>
      </c>
      <c r="H140" s="436"/>
      <c r="I140" s="436">
        <f t="shared" si="23"/>
        <v>26712</v>
      </c>
      <c r="J140" s="437">
        <v>0.25</v>
      </c>
      <c r="K140" s="437">
        <v>0.25</v>
      </c>
      <c r="L140" s="437">
        <v>0.5</v>
      </c>
      <c r="M140" s="438">
        <v>1</v>
      </c>
      <c r="N140" s="439">
        <f>+G140*J140</f>
        <v>6678</v>
      </c>
      <c r="O140" s="439">
        <f>+G140*K140</f>
        <v>6678</v>
      </c>
      <c r="P140" s="439">
        <f>+G140*L140</f>
        <v>13356</v>
      </c>
      <c r="Q140" s="439">
        <f>SUM(N140:P140)</f>
        <v>26712</v>
      </c>
    </row>
    <row r="141" spans="1:18" ht="16.5" customHeight="1" x14ac:dyDescent="0.25">
      <c r="A141" s="440"/>
      <c r="B141" s="431"/>
      <c r="C141" s="441"/>
      <c r="D141" s="442"/>
      <c r="E141" s="434">
        <v>710203</v>
      </c>
      <c r="F141" s="435" t="s">
        <v>479</v>
      </c>
      <c r="G141" s="436">
        <v>2792.5</v>
      </c>
      <c r="H141" s="436"/>
      <c r="I141" s="436">
        <f t="shared" si="23"/>
        <v>2792.5</v>
      </c>
      <c r="J141" s="437">
        <v>0.25</v>
      </c>
      <c r="K141" s="437">
        <v>0.25</v>
      </c>
      <c r="L141" s="437">
        <v>0.5</v>
      </c>
      <c r="M141" s="438">
        <v>1</v>
      </c>
      <c r="N141" s="439">
        <f t="shared" ref="N141:N194" si="44">+G141*J141</f>
        <v>698.125</v>
      </c>
      <c r="O141" s="439">
        <f t="shared" ref="O141:O194" si="45">+G141*K141</f>
        <v>698.125</v>
      </c>
      <c r="P141" s="439">
        <f t="shared" ref="P141:P194" si="46">+G141*L141</f>
        <v>1396.25</v>
      </c>
      <c r="Q141" s="439">
        <f t="shared" ref="Q141:Q194" si="47">SUM(N141:P141)</f>
        <v>2792.5</v>
      </c>
    </row>
    <row r="142" spans="1:18" ht="16.5" customHeight="1" x14ac:dyDescent="0.25">
      <c r="A142" s="440"/>
      <c r="B142" s="431"/>
      <c r="C142" s="441"/>
      <c r="D142" s="442"/>
      <c r="E142" s="434">
        <v>710204</v>
      </c>
      <c r="F142" s="435" t="s">
        <v>480</v>
      </c>
      <c r="G142" s="436">
        <v>850</v>
      </c>
      <c r="H142" s="436"/>
      <c r="I142" s="436">
        <f t="shared" si="23"/>
        <v>850</v>
      </c>
      <c r="J142" s="437">
        <v>0.25</v>
      </c>
      <c r="K142" s="437">
        <v>0.25</v>
      </c>
      <c r="L142" s="437">
        <v>0.5</v>
      </c>
      <c r="M142" s="438">
        <v>1</v>
      </c>
      <c r="N142" s="439">
        <f t="shared" si="44"/>
        <v>212.5</v>
      </c>
      <c r="O142" s="439">
        <f t="shared" si="45"/>
        <v>212.5</v>
      </c>
      <c r="P142" s="439">
        <f t="shared" si="46"/>
        <v>425</v>
      </c>
      <c r="Q142" s="439">
        <f t="shared" si="47"/>
        <v>850</v>
      </c>
    </row>
    <row r="143" spans="1:18" ht="16.5" customHeight="1" x14ac:dyDescent="0.25">
      <c r="A143" s="440"/>
      <c r="B143" s="431"/>
      <c r="C143" s="441"/>
      <c r="D143" s="442"/>
      <c r="E143" s="434">
        <v>710601</v>
      </c>
      <c r="F143" s="435" t="s">
        <v>481</v>
      </c>
      <c r="G143" s="436">
        <v>4630.18</v>
      </c>
      <c r="H143" s="436"/>
      <c r="I143" s="436">
        <f t="shared" si="23"/>
        <v>4630.18</v>
      </c>
      <c r="J143" s="437">
        <v>0.25</v>
      </c>
      <c r="K143" s="437">
        <v>0.25</v>
      </c>
      <c r="L143" s="437">
        <v>0.5</v>
      </c>
      <c r="M143" s="438">
        <v>1</v>
      </c>
      <c r="N143" s="439">
        <f t="shared" si="44"/>
        <v>1157.5450000000001</v>
      </c>
      <c r="O143" s="439">
        <f t="shared" si="45"/>
        <v>1157.5450000000001</v>
      </c>
      <c r="P143" s="439">
        <f t="shared" si="46"/>
        <v>2315.09</v>
      </c>
      <c r="Q143" s="439">
        <f t="shared" si="47"/>
        <v>4630.18</v>
      </c>
    </row>
    <row r="144" spans="1:18" ht="16.5" customHeight="1" x14ac:dyDescent="0.25">
      <c r="A144" s="440"/>
      <c r="B144" s="431"/>
      <c r="C144" s="441"/>
      <c r="D144" s="442"/>
      <c r="E144" s="434">
        <v>710602</v>
      </c>
      <c r="F144" s="435" t="s">
        <v>482</v>
      </c>
      <c r="G144" s="436">
        <v>2792.5</v>
      </c>
      <c r="H144" s="436"/>
      <c r="I144" s="436">
        <f t="shared" si="23"/>
        <v>2792.5</v>
      </c>
      <c r="J144" s="437">
        <v>0.25</v>
      </c>
      <c r="K144" s="437">
        <v>0.25</v>
      </c>
      <c r="L144" s="437">
        <v>0.5</v>
      </c>
      <c r="M144" s="438">
        <v>1</v>
      </c>
      <c r="N144" s="439">
        <f t="shared" si="44"/>
        <v>698.125</v>
      </c>
      <c r="O144" s="439">
        <f t="shared" si="45"/>
        <v>698.125</v>
      </c>
      <c r="P144" s="439">
        <f t="shared" si="46"/>
        <v>1396.25</v>
      </c>
      <c r="Q144" s="439">
        <f t="shared" si="47"/>
        <v>2792.5</v>
      </c>
    </row>
    <row r="145" spans="1:17" ht="16.5" customHeight="1" x14ac:dyDescent="0.25">
      <c r="A145" s="440"/>
      <c r="B145" s="431"/>
      <c r="C145" s="441"/>
      <c r="D145" s="442"/>
      <c r="E145" s="434">
        <v>710510</v>
      </c>
      <c r="F145" s="435" t="s">
        <v>529</v>
      </c>
      <c r="G145" s="436">
        <v>6798</v>
      </c>
      <c r="H145" s="436"/>
      <c r="I145" s="436">
        <f t="shared" ref="I145:I194" si="48">+G145+H145</f>
        <v>6798</v>
      </c>
      <c r="J145" s="437">
        <v>0.25</v>
      </c>
      <c r="K145" s="437">
        <v>0.25</v>
      </c>
      <c r="L145" s="437">
        <v>0.5</v>
      </c>
      <c r="M145" s="438">
        <v>1</v>
      </c>
      <c r="N145" s="439">
        <f t="shared" si="44"/>
        <v>1699.5</v>
      </c>
      <c r="O145" s="439">
        <f t="shared" si="45"/>
        <v>1699.5</v>
      </c>
      <c r="P145" s="439">
        <f t="shared" si="46"/>
        <v>3399</v>
      </c>
      <c r="Q145" s="439">
        <f t="shared" si="47"/>
        <v>6798</v>
      </c>
    </row>
    <row r="146" spans="1:17" ht="16.5" customHeight="1" x14ac:dyDescent="0.25">
      <c r="A146" s="440"/>
      <c r="B146" s="431"/>
      <c r="C146" s="441"/>
      <c r="D146" s="442"/>
      <c r="E146" s="443">
        <v>730201</v>
      </c>
      <c r="F146" s="444" t="s">
        <v>530</v>
      </c>
      <c r="G146" s="436">
        <v>250</v>
      </c>
      <c r="H146" s="436"/>
      <c r="I146" s="436">
        <f t="shared" si="48"/>
        <v>250</v>
      </c>
      <c r="J146" s="437">
        <v>0.25</v>
      </c>
      <c r="K146" s="437">
        <v>0.25</v>
      </c>
      <c r="L146" s="437">
        <v>0.5</v>
      </c>
      <c r="M146" s="438">
        <v>1</v>
      </c>
      <c r="N146" s="439">
        <f t="shared" si="44"/>
        <v>62.5</v>
      </c>
      <c r="O146" s="439">
        <f t="shared" si="45"/>
        <v>62.5</v>
      </c>
      <c r="P146" s="439">
        <f t="shared" si="46"/>
        <v>125</v>
      </c>
      <c r="Q146" s="439">
        <f t="shared" si="47"/>
        <v>250</v>
      </c>
    </row>
    <row r="147" spans="1:17" ht="16.5" customHeight="1" x14ac:dyDescent="0.25">
      <c r="A147" s="440"/>
      <c r="B147" s="431"/>
      <c r="C147" s="441"/>
      <c r="D147" s="442"/>
      <c r="E147" s="443">
        <v>710512</v>
      </c>
      <c r="F147" s="444" t="s">
        <v>531</v>
      </c>
      <c r="G147" s="436">
        <v>500</v>
      </c>
      <c r="H147" s="436"/>
      <c r="I147" s="436">
        <f t="shared" si="48"/>
        <v>500</v>
      </c>
      <c r="J147" s="437">
        <v>0.25</v>
      </c>
      <c r="K147" s="437">
        <v>0.25</v>
      </c>
      <c r="L147" s="437">
        <v>0.5</v>
      </c>
      <c r="M147" s="438">
        <v>1</v>
      </c>
      <c r="N147" s="439">
        <f t="shared" si="44"/>
        <v>125</v>
      </c>
      <c r="O147" s="439">
        <f t="shared" si="45"/>
        <v>125</v>
      </c>
      <c r="P147" s="439">
        <f t="shared" si="46"/>
        <v>250</v>
      </c>
      <c r="Q147" s="439">
        <f t="shared" si="47"/>
        <v>500</v>
      </c>
    </row>
    <row r="148" spans="1:17" ht="16.5" customHeight="1" x14ac:dyDescent="0.25">
      <c r="A148" s="440"/>
      <c r="B148" s="431"/>
      <c r="C148" s="445"/>
      <c r="D148" s="446"/>
      <c r="E148" s="443">
        <v>730612</v>
      </c>
      <c r="F148" s="444" t="s">
        <v>532</v>
      </c>
      <c r="G148" s="436">
        <v>700</v>
      </c>
      <c r="H148" s="436"/>
      <c r="I148" s="436">
        <f t="shared" si="48"/>
        <v>700</v>
      </c>
      <c r="J148" s="437">
        <v>0</v>
      </c>
      <c r="K148" s="437">
        <v>0.5</v>
      </c>
      <c r="L148" s="437">
        <v>0.5</v>
      </c>
      <c r="M148" s="438">
        <v>1</v>
      </c>
      <c r="N148" s="439">
        <f t="shared" si="44"/>
        <v>0</v>
      </c>
      <c r="O148" s="439">
        <f t="shared" si="45"/>
        <v>350</v>
      </c>
      <c r="P148" s="439">
        <f t="shared" si="46"/>
        <v>350</v>
      </c>
      <c r="Q148" s="439">
        <f t="shared" si="47"/>
        <v>700</v>
      </c>
    </row>
    <row r="149" spans="1:17" ht="32.25" customHeight="1" x14ac:dyDescent="0.25">
      <c r="A149" s="440"/>
      <c r="B149" s="431"/>
      <c r="C149" s="432" t="s">
        <v>533</v>
      </c>
      <c r="D149" s="432" t="s">
        <v>534</v>
      </c>
      <c r="E149" s="434">
        <v>730613</v>
      </c>
      <c r="F149" s="435" t="s">
        <v>535</v>
      </c>
      <c r="G149" s="436">
        <v>2100</v>
      </c>
      <c r="H149" s="436"/>
      <c r="I149" s="436">
        <f t="shared" si="48"/>
        <v>2100</v>
      </c>
      <c r="J149" s="437">
        <v>0</v>
      </c>
      <c r="K149" s="437">
        <v>0.5</v>
      </c>
      <c r="L149" s="437">
        <v>0.5</v>
      </c>
      <c r="M149" s="438">
        <v>1</v>
      </c>
      <c r="N149" s="439">
        <f t="shared" si="44"/>
        <v>0</v>
      </c>
      <c r="O149" s="439">
        <f t="shared" si="45"/>
        <v>1050</v>
      </c>
      <c r="P149" s="439">
        <f t="shared" si="46"/>
        <v>1050</v>
      </c>
      <c r="Q149" s="439">
        <f t="shared" si="47"/>
        <v>2100</v>
      </c>
    </row>
    <row r="150" spans="1:17" ht="27" customHeight="1" x14ac:dyDescent="0.25">
      <c r="A150" s="440"/>
      <c r="B150" s="431"/>
      <c r="C150" s="445"/>
      <c r="D150" s="445"/>
      <c r="E150" s="434">
        <v>730205</v>
      </c>
      <c r="F150" s="435" t="s">
        <v>536</v>
      </c>
      <c r="G150" s="436">
        <v>15000</v>
      </c>
      <c r="H150" s="436"/>
      <c r="I150" s="436">
        <f t="shared" si="48"/>
        <v>15000</v>
      </c>
      <c r="J150" s="437">
        <v>0</v>
      </c>
      <c r="K150" s="437">
        <v>0.5</v>
      </c>
      <c r="L150" s="437">
        <v>0.5</v>
      </c>
      <c r="M150" s="438">
        <v>1</v>
      </c>
      <c r="N150" s="439">
        <f t="shared" si="44"/>
        <v>0</v>
      </c>
      <c r="O150" s="439">
        <f t="shared" si="45"/>
        <v>7500</v>
      </c>
      <c r="P150" s="439">
        <f t="shared" si="46"/>
        <v>7500</v>
      </c>
      <c r="Q150" s="439">
        <f t="shared" si="47"/>
        <v>15000</v>
      </c>
    </row>
    <row r="151" spans="1:17" ht="36" customHeight="1" x14ac:dyDescent="0.25">
      <c r="A151" s="440"/>
      <c r="B151" s="431"/>
      <c r="C151" s="447" t="s">
        <v>537</v>
      </c>
      <c r="D151" s="447" t="s">
        <v>538</v>
      </c>
      <c r="E151" s="443">
        <v>730814.41299999994</v>
      </c>
      <c r="F151" s="444" t="s">
        <v>539</v>
      </c>
      <c r="G151" s="436">
        <v>7180</v>
      </c>
      <c r="H151" s="436"/>
      <c r="I151" s="436">
        <f t="shared" si="48"/>
        <v>7180</v>
      </c>
      <c r="J151" s="437">
        <v>0</v>
      </c>
      <c r="K151" s="437">
        <v>0.5</v>
      </c>
      <c r="L151" s="437">
        <v>0.5</v>
      </c>
      <c r="M151" s="438">
        <v>1</v>
      </c>
      <c r="N151" s="439">
        <f t="shared" si="44"/>
        <v>0</v>
      </c>
      <c r="O151" s="439">
        <f t="shared" si="45"/>
        <v>3590</v>
      </c>
      <c r="P151" s="439">
        <f t="shared" si="46"/>
        <v>3590</v>
      </c>
      <c r="Q151" s="439">
        <f t="shared" si="47"/>
        <v>7180</v>
      </c>
    </row>
    <row r="152" spans="1:17" ht="15" customHeight="1" x14ac:dyDescent="0.25">
      <c r="A152" s="440"/>
      <c r="B152" s="448" t="s">
        <v>540</v>
      </c>
      <c r="C152" s="432" t="s">
        <v>541</v>
      </c>
      <c r="D152" s="432" t="s">
        <v>410</v>
      </c>
      <c r="E152" s="434">
        <v>710106</v>
      </c>
      <c r="F152" s="435" t="s">
        <v>285</v>
      </c>
      <c r="G152" s="436">
        <v>15468</v>
      </c>
      <c r="H152" s="436"/>
      <c r="I152" s="436">
        <f t="shared" si="48"/>
        <v>15468</v>
      </c>
      <c r="J152" s="437">
        <v>0.25</v>
      </c>
      <c r="K152" s="437">
        <v>0.25</v>
      </c>
      <c r="L152" s="437">
        <v>0.5</v>
      </c>
      <c r="M152" s="438">
        <v>1</v>
      </c>
      <c r="N152" s="439">
        <f t="shared" si="44"/>
        <v>3867</v>
      </c>
      <c r="O152" s="439">
        <f t="shared" si="45"/>
        <v>3867</v>
      </c>
      <c r="P152" s="439">
        <f t="shared" si="46"/>
        <v>7734</v>
      </c>
      <c r="Q152" s="439">
        <f t="shared" si="47"/>
        <v>15468</v>
      </c>
    </row>
    <row r="153" spans="1:17" ht="12.75" customHeight="1" x14ac:dyDescent="0.25">
      <c r="A153" s="440"/>
      <c r="B153" s="449"/>
      <c r="C153" s="441"/>
      <c r="D153" s="441"/>
      <c r="E153" s="434">
        <v>710510</v>
      </c>
      <c r="F153" s="435" t="s">
        <v>529</v>
      </c>
      <c r="G153" s="436">
        <v>13032</v>
      </c>
      <c r="H153" s="436"/>
      <c r="I153" s="436">
        <f t="shared" si="48"/>
        <v>13032</v>
      </c>
      <c r="J153" s="437">
        <v>0.25</v>
      </c>
      <c r="K153" s="437">
        <v>0.25</v>
      </c>
      <c r="L153" s="437">
        <v>0.5</v>
      </c>
      <c r="M153" s="438">
        <v>1</v>
      </c>
      <c r="N153" s="439">
        <f t="shared" si="44"/>
        <v>3258</v>
      </c>
      <c r="O153" s="439">
        <f t="shared" si="45"/>
        <v>3258</v>
      </c>
      <c r="P153" s="439">
        <f t="shared" si="46"/>
        <v>6516</v>
      </c>
      <c r="Q153" s="439">
        <f t="shared" si="47"/>
        <v>13032</v>
      </c>
    </row>
    <row r="154" spans="1:17" ht="12.75" customHeight="1" x14ac:dyDescent="0.25">
      <c r="A154" s="440"/>
      <c r="B154" s="449"/>
      <c r="C154" s="441"/>
      <c r="D154" s="441"/>
      <c r="E154" s="434">
        <v>710203</v>
      </c>
      <c r="F154" s="435" t="s">
        <v>479</v>
      </c>
      <c r="G154" s="436">
        <f>2361+1289</f>
        <v>3650</v>
      </c>
      <c r="H154" s="436"/>
      <c r="I154" s="436">
        <f t="shared" si="48"/>
        <v>3650</v>
      </c>
      <c r="J154" s="437">
        <v>0.25</v>
      </c>
      <c r="K154" s="437">
        <v>0.25</v>
      </c>
      <c r="L154" s="437">
        <v>0.5</v>
      </c>
      <c r="M154" s="438">
        <v>1</v>
      </c>
      <c r="N154" s="439">
        <f t="shared" si="44"/>
        <v>912.5</v>
      </c>
      <c r="O154" s="439">
        <f t="shared" si="45"/>
        <v>912.5</v>
      </c>
      <c r="P154" s="439">
        <f t="shared" si="46"/>
        <v>1825</v>
      </c>
      <c r="Q154" s="439">
        <f t="shared" si="47"/>
        <v>3650</v>
      </c>
    </row>
    <row r="155" spans="1:17" ht="12.75" customHeight="1" x14ac:dyDescent="0.25">
      <c r="A155" s="440"/>
      <c r="B155" s="449"/>
      <c r="C155" s="441"/>
      <c r="D155" s="441"/>
      <c r="E155" s="434">
        <v>710204</v>
      </c>
      <c r="F155" s="435" t="s">
        <v>480</v>
      </c>
      <c r="G155" s="436">
        <f>1275+1275</f>
        <v>2550</v>
      </c>
      <c r="H155" s="436"/>
      <c r="I155" s="436">
        <f t="shared" si="48"/>
        <v>2550</v>
      </c>
      <c r="J155" s="437">
        <v>0.25</v>
      </c>
      <c r="K155" s="437">
        <v>0.25</v>
      </c>
      <c r="L155" s="437">
        <v>0.5</v>
      </c>
      <c r="M155" s="438">
        <v>1</v>
      </c>
      <c r="N155" s="439">
        <f t="shared" si="44"/>
        <v>637.5</v>
      </c>
      <c r="O155" s="439">
        <f t="shared" si="45"/>
        <v>637.5</v>
      </c>
      <c r="P155" s="439">
        <f t="shared" si="46"/>
        <v>1275</v>
      </c>
      <c r="Q155" s="439">
        <f t="shared" si="47"/>
        <v>2550</v>
      </c>
    </row>
    <row r="156" spans="1:17" ht="12.75" customHeight="1" x14ac:dyDescent="0.25">
      <c r="A156" s="440"/>
      <c r="B156" s="449"/>
      <c r="C156" s="441"/>
      <c r="D156" s="441"/>
      <c r="E156" s="434">
        <v>710601</v>
      </c>
      <c r="F156" s="435" t="s">
        <v>481</v>
      </c>
      <c r="G156" s="436">
        <f>1912.5+1933.5</f>
        <v>3846</v>
      </c>
      <c r="H156" s="436"/>
      <c r="I156" s="436">
        <f t="shared" si="48"/>
        <v>3846</v>
      </c>
      <c r="J156" s="437">
        <v>0.25</v>
      </c>
      <c r="K156" s="437">
        <v>0.25</v>
      </c>
      <c r="L156" s="437">
        <v>0.5</v>
      </c>
      <c r="M156" s="438">
        <v>1</v>
      </c>
      <c r="N156" s="439">
        <f t="shared" si="44"/>
        <v>961.5</v>
      </c>
      <c r="O156" s="439">
        <f t="shared" si="45"/>
        <v>961.5</v>
      </c>
      <c r="P156" s="439">
        <f t="shared" si="46"/>
        <v>1923</v>
      </c>
      <c r="Q156" s="439">
        <f t="shared" si="47"/>
        <v>3846</v>
      </c>
    </row>
    <row r="157" spans="1:17" ht="12.75" customHeight="1" x14ac:dyDescent="0.25">
      <c r="A157" s="440"/>
      <c r="B157" s="449"/>
      <c r="C157" s="441"/>
      <c r="D157" s="441"/>
      <c r="E157" s="434">
        <v>710602</v>
      </c>
      <c r="F157" s="435" t="s">
        <v>482</v>
      </c>
      <c r="G157" s="436">
        <v>3650</v>
      </c>
      <c r="H157" s="436"/>
      <c r="I157" s="436">
        <f t="shared" si="48"/>
        <v>3650</v>
      </c>
      <c r="J157" s="437">
        <v>0.25</v>
      </c>
      <c r="K157" s="437">
        <v>0.25</v>
      </c>
      <c r="L157" s="437">
        <v>0.5</v>
      </c>
      <c r="M157" s="438">
        <v>1</v>
      </c>
      <c r="N157" s="439">
        <f t="shared" si="44"/>
        <v>912.5</v>
      </c>
      <c r="O157" s="439">
        <f t="shared" si="45"/>
        <v>912.5</v>
      </c>
      <c r="P157" s="439">
        <f t="shared" si="46"/>
        <v>1825</v>
      </c>
      <c r="Q157" s="439">
        <f t="shared" si="47"/>
        <v>3650</v>
      </c>
    </row>
    <row r="158" spans="1:17" ht="23.25" customHeight="1" x14ac:dyDescent="0.25">
      <c r="A158" s="440"/>
      <c r="B158" s="449"/>
      <c r="C158" s="441"/>
      <c r="D158" s="441"/>
      <c r="E158" s="434">
        <v>710304</v>
      </c>
      <c r="F158" s="435" t="s">
        <v>411</v>
      </c>
      <c r="G158" s="436">
        <v>396</v>
      </c>
      <c r="H158" s="436"/>
      <c r="I158" s="436">
        <f t="shared" si="48"/>
        <v>396</v>
      </c>
      <c r="J158" s="437">
        <v>0.25</v>
      </c>
      <c r="K158" s="437">
        <v>0.25</v>
      </c>
      <c r="L158" s="437">
        <v>0.5</v>
      </c>
      <c r="M158" s="438">
        <v>1</v>
      </c>
      <c r="N158" s="439">
        <f t="shared" si="44"/>
        <v>99</v>
      </c>
      <c r="O158" s="439">
        <f t="shared" si="45"/>
        <v>99</v>
      </c>
      <c r="P158" s="439">
        <f t="shared" si="46"/>
        <v>198</v>
      </c>
      <c r="Q158" s="439">
        <f t="shared" si="47"/>
        <v>396</v>
      </c>
    </row>
    <row r="159" spans="1:17" ht="12" x14ac:dyDescent="0.25">
      <c r="A159" s="440"/>
      <c r="B159" s="449"/>
      <c r="C159" s="441"/>
      <c r="D159" s="441"/>
      <c r="E159" s="434">
        <v>710306</v>
      </c>
      <c r="F159" s="435" t="s">
        <v>412</v>
      </c>
      <c r="G159" s="436">
        <v>2376</v>
      </c>
      <c r="H159" s="436">
        <v>-100</v>
      </c>
      <c r="I159" s="436">
        <f t="shared" si="48"/>
        <v>2276</v>
      </c>
      <c r="J159" s="437">
        <v>0.25</v>
      </c>
      <c r="K159" s="437">
        <v>0.25</v>
      </c>
      <c r="L159" s="437">
        <v>0.5</v>
      </c>
      <c r="M159" s="438">
        <v>1</v>
      </c>
      <c r="N159" s="439">
        <f t="shared" si="44"/>
        <v>594</v>
      </c>
      <c r="O159" s="439">
        <f t="shared" si="45"/>
        <v>594</v>
      </c>
      <c r="P159" s="439">
        <f t="shared" si="46"/>
        <v>1188</v>
      </c>
      <c r="Q159" s="439">
        <f t="shared" si="47"/>
        <v>2376</v>
      </c>
    </row>
    <row r="160" spans="1:17" ht="12.75" customHeight="1" x14ac:dyDescent="0.25">
      <c r="A160" s="440"/>
      <c r="B160" s="449"/>
      <c r="C160" s="441"/>
      <c r="D160" s="441"/>
      <c r="E160" s="434">
        <v>710401</v>
      </c>
      <c r="F160" s="435" t="s">
        <v>413</v>
      </c>
      <c r="G160" s="436">
        <v>288</v>
      </c>
      <c r="H160" s="436"/>
      <c r="I160" s="436">
        <f t="shared" si="48"/>
        <v>288</v>
      </c>
      <c r="J160" s="437">
        <v>0.25</v>
      </c>
      <c r="K160" s="437">
        <v>0.25</v>
      </c>
      <c r="L160" s="437">
        <v>0.5</v>
      </c>
      <c r="M160" s="438">
        <v>1</v>
      </c>
      <c r="N160" s="439">
        <f t="shared" si="44"/>
        <v>72</v>
      </c>
      <c r="O160" s="439">
        <f t="shared" si="45"/>
        <v>72</v>
      </c>
      <c r="P160" s="439">
        <f t="shared" si="46"/>
        <v>144</v>
      </c>
      <c r="Q160" s="439">
        <f t="shared" si="47"/>
        <v>288</v>
      </c>
    </row>
    <row r="161" spans="1:17" ht="12" x14ac:dyDescent="0.25">
      <c r="A161" s="440"/>
      <c r="B161" s="449"/>
      <c r="C161" s="441"/>
      <c r="D161" s="441"/>
      <c r="E161" s="434">
        <v>710402</v>
      </c>
      <c r="F161" s="435" t="s">
        <v>414</v>
      </c>
      <c r="G161" s="436">
        <v>107.52</v>
      </c>
      <c r="H161" s="436"/>
      <c r="I161" s="436">
        <f t="shared" si="48"/>
        <v>107.52</v>
      </c>
      <c r="J161" s="437">
        <v>0.25</v>
      </c>
      <c r="K161" s="437">
        <v>0.25</v>
      </c>
      <c r="L161" s="437">
        <v>0.5</v>
      </c>
      <c r="M161" s="438">
        <v>1</v>
      </c>
      <c r="N161" s="439">
        <f t="shared" si="44"/>
        <v>26.88</v>
      </c>
      <c r="O161" s="439">
        <f t="shared" si="45"/>
        <v>26.88</v>
      </c>
      <c r="P161" s="439">
        <f t="shared" si="46"/>
        <v>53.76</v>
      </c>
      <c r="Q161" s="439">
        <f t="shared" si="47"/>
        <v>107.52</v>
      </c>
    </row>
    <row r="162" spans="1:17" ht="12" x14ac:dyDescent="0.25">
      <c r="A162" s="440"/>
      <c r="B162" s="449"/>
      <c r="C162" s="441"/>
      <c r="D162" s="441"/>
      <c r="E162" s="434">
        <v>710408</v>
      </c>
      <c r="F162" s="435" t="s">
        <v>415</v>
      </c>
      <c r="G162" s="436">
        <v>170.16</v>
      </c>
      <c r="H162" s="436"/>
      <c r="I162" s="436">
        <f t="shared" si="48"/>
        <v>170.16</v>
      </c>
      <c r="J162" s="437">
        <v>0.25</v>
      </c>
      <c r="K162" s="437">
        <v>0.25</v>
      </c>
      <c r="L162" s="437">
        <v>0.5</v>
      </c>
      <c r="M162" s="438">
        <v>1</v>
      </c>
      <c r="N162" s="439">
        <f t="shared" si="44"/>
        <v>42.54</v>
      </c>
      <c r="O162" s="439">
        <f t="shared" si="45"/>
        <v>42.54</v>
      </c>
      <c r="P162" s="439">
        <f t="shared" si="46"/>
        <v>85.08</v>
      </c>
      <c r="Q162" s="439">
        <f t="shared" si="47"/>
        <v>170.16</v>
      </c>
    </row>
    <row r="163" spans="1:17" ht="22.5" customHeight="1" x14ac:dyDescent="0.25">
      <c r="A163" s="440"/>
      <c r="B163" s="449"/>
      <c r="C163" s="445"/>
      <c r="D163" s="445"/>
      <c r="E163" s="434">
        <v>710509</v>
      </c>
      <c r="F163" s="435" t="s">
        <v>243</v>
      </c>
      <c r="G163" s="436">
        <v>300</v>
      </c>
      <c r="H163" s="436">
        <v>500</v>
      </c>
      <c r="I163" s="436">
        <f t="shared" si="48"/>
        <v>800</v>
      </c>
      <c r="J163" s="437">
        <v>0.25</v>
      </c>
      <c r="K163" s="437">
        <v>0.25</v>
      </c>
      <c r="L163" s="437">
        <v>0.5</v>
      </c>
      <c r="M163" s="438">
        <v>1</v>
      </c>
      <c r="N163" s="439">
        <f t="shared" si="44"/>
        <v>75</v>
      </c>
      <c r="O163" s="439">
        <f t="shared" si="45"/>
        <v>75</v>
      </c>
      <c r="P163" s="439">
        <f t="shared" si="46"/>
        <v>150</v>
      </c>
      <c r="Q163" s="439">
        <f t="shared" si="47"/>
        <v>300</v>
      </c>
    </row>
    <row r="164" spans="1:17" ht="22.5" customHeight="1" x14ac:dyDescent="0.25">
      <c r="A164" s="440"/>
      <c r="B164" s="449"/>
      <c r="C164" s="448" t="s">
        <v>542</v>
      </c>
      <c r="D164" s="432" t="s">
        <v>543</v>
      </c>
      <c r="E164" s="450">
        <v>730823</v>
      </c>
      <c r="F164" s="444" t="s">
        <v>544</v>
      </c>
      <c r="G164" s="451">
        <v>5000</v>
      </c>
      <c r="H164" s="451"/>
      <c r="I164" s="436">
        <f t="shared" si="48"/>
        <v>5000</v>
      </c>
      <c r="J164" s="437">
        <v>0.25</v>
      </c>
      <c r="K164" s="437">
        <v>0.25</v>
      </c>
      <c r="L164" s="437">
        <v>0.5</v>
      </c>
      <c r="M164" s="438">
        <v>1</v>
      </c>
      <c r="N164" s="439">
        <f t="shared" si="44"/>
        <v>1250</v>
      </c>
      <c r="O164" s="439">
        <f t="shared" si="45"/>
        <v>1250</v>
      </c>
      <c r="P164" s="439">
        <f t="shared" si="46"/>
        <v>2500</v>
      </c>
      <c r="Q164" s="439">
        <f t="shared" si="47"/>
        <v>5000</v>
      </c>
    </row>
    <row r="165" spans="1:17" ht="11.25" customHeight="1" x14ac:dyDescent="0.25">
      <c r="A165" s="440"/>
      <c r="B165" s="449"/>
      <c r="C165" s="449"/>
      <c r="D165" s="441"/>
      <c r="E165" s="452">
        <v>730803</v>
      </c>
      <c r="F165" s="453" t="s">
        <v>464</v>
      </c>
      <c r="G165" s="451">
        <v>80</v>
      </c>
      <c r="H165" s="451"/>
      <c r="I165" s="436">
        <f t="shared" si="48"/>
        <v>80</v>
      </c>
      <c r="J165" s="437">
        <v>0.25</v>
      </c>
      <c r="K165" s="437">
        <v>0.25</v>
      </c>
      <c r="L165" s="437">
        <v>0.5</v>
      </c>
      <c r="M165" s="438">
        <v>1</v>
      </c>
      <c r="N165" s="439">
        <f t="shared" si="44"/>
        <v>20</v>
      </c>
      <c r="O165" s="439">
        <f t="shared" si="45"/>
        <v>20</v>
      </c>
      <c r="P165" s="439">
        <f t="shared" si="46"/>
        <v>40</v>
      </c>
      <c r="Q165" s="439">
        <f t="shared" si="47"/>
        <v>80</v>
      </c>
    </row>
    <row r="166" spans="1:17" ht="22.5" customHeight="1" x14ac:dyDescent="0.25">
      <c r="A166" s="440"/>
      <c r="B166" s="449"/>
      <c r="C166" s="449"/>
      <c r="D166" s="441"/>
      <c r="E166" s="452">
        <v>731406</v>
      </c>
      <c r="F166" s="453" t="s">
        <v>466</v>
      </c>
      <c r="G166" s="451">
        <v>500</v>
      </c>
      <c r="H166" s="451"/>
      <c r="I166" s="436">
        <f t="shared" si="48"/>
        <v>500</v>
      </c>
      <c r="J166" s="437">
        <v>0.25</v>
      </c>
      <c r="K166" s="437">
        <v>0.25</v>
      </c>
      <c r="L166" s="437">
        <v>0.5</v>
      </c>
      <c r="M166" s="438">
        <v>1</v>
      </c>
      <c r="N166" s="439">
        <f t="shared" si="44"/>
        <v>125</v>
      </c>
      <c r="O166" s="439">
        <f t="shared" si="45"/>
        <v>125</v>
      </c>
      <c r="P166" s="439">
        <f t="shared" si="46"/>
        <v>250</v>
      </c>
      <c r="Q166" s="439">
        <f t="shared" si="47"/>
        <v>500</v>
      </c>
    </row>
    <row r="167" spans="1:17" ht="18.75" customHeight="1" x14ac:dyDescent="0.25">
      <c r="A167" s="440"/>
      <c r="B167" s="449"/>
      <c r="C167" s="449"/>
      <c r="D167" s="441"/>
      <c r="E167" s="452">
        <v>730811</v>
      </c>
      <c r="F167" s="453" t="s">
        <v>465</v>
      </c>
      <c r="G167" s="451">
        <v>1500</v>
      </c>
      <c r="H167" s="451"/>
      <c r="I167" s="436">
        <f t="shared" si="48"/>
        <v>1500</v>
      </c>
      <c r="J167" s="437">
        <v>0.25</v>
      </c>
      <c r="K167" s="437">
        <v>0.25</v>
      </c>
      <c r="L167" s="437">
        <v>0.5</v>
      </c>
      <c r="M167" s="438">
        <v>1</v>
      </c>
      <c r="N167" s="439">
        <f t="shared" si="44"/>
        <v>375</v>
      </c>
      <c r="O167" s="439">
        <f t="shared" si="45"/>
        <v>375</v>
      </c>
      <c r="P167" s="439">
        <f t="shared" si="46"/>
        <v>750</v>
      </c>
      <c r="Q167" s="439">
        <f t="shared" si="47"/>
        <v>1500</v>
      </c>
    </row>
    <row r="168" spans="1:17" ht="18.75" customHeight="1" x14ac:dyDescent="0.25">
      <c r="A168" s="440"/>
      <c r="B168" s="449"/>
      <c r="C168" s="449"/>
      <c r="D168" s="445"/>
      <c r="E168" s="443">
        <v>730814.41299999994</v>
      </c>
      <c r="F168" s="444" t="s">
        <v>539</v>
      </c>
      <c r="G168" s="451">
        <v>420</v>
      </c>
      <c r="H168" s="451"/>
      <c r="I168" s="436">
        <f t="shared" si="48"/>
        <v>420</v>
      </c>
      <c r="J168" s="437">
        <v>1</v>
      </c>
      <c r="K168" s="437">
        <v>0</v>
      </c>
      <c r="L168" s="437">
        <v>0</v>
      </c>
      <c r="M168" s="438">
        <v>1</v>
      </c>
      <c r="N168" s="439">
        <f t="shared" si="44"/>
        <v>420</v>
      </c>
      <c r="O168" s="439">
        <f t="shared" si="45"/>
        <v>0</v>
      </c>
      <c r="P168" s="439">
        <f t="shared" si="46"/>
        <v>0</v>
      </c>
      <c r="Q168" s="439">
        <f t="shared" si="47"/>
        <v>420</v>
      </c>
    </row>
    <row r="169" spans="1:17" ht="22.5" customHeight="1" x14ac:dyDescent="0.25">
      <c r="A169" s="440"/>
      <c r="B169" s="449"/>
      <c r="C169" s="449"/>
      <c r="D169" s="454" t="s">
        <v>545</v>
      </c>
      <c r="E169" s="452">
        <v>730823</v>
      </c>
      <c r="F169" s="453" t="s">
        <v>544</v>
      </c>
      <c r="G169" s="451">
        <v>5000</v>
      </c>
      <c r="H169" s="451"/>
      <c r="I169" s="436">
        <f t="shared" si="48"/>
        <v>5000</v>
      </c>
      <c r="J169" s="437">
        <v>0.25</v>
      </c>
      <c r="K169" s="437">
        <v>0.25</v>
      </c>
      <c r="L169" s="437">
        <v>0.5</v>
      </c>
      <c r="M169" s="438">
        <v>1</v>
      </c>
      <c r="N169" s="439">
        <f t="shared" si="44"/>
        <v>1250</v>
      </c>
      <c r="O169" s="439">
        <f t="shared" si="45"/>
        <v>1250</v>
      </c>
      <c r="P169" s="439">
        <f t="shared" si="46"/>
        <v>2500</v>
      </c>
      <c r="Q169" s="439">
        <f t="shared" si="47"/>
        <v>5000</v>
      </c>
    </row>
    <row r="170" spans="1:17" ht="19.5" customHeight="1" x14ac:dyDescent="0.25">
      <c r="A170" s="440"/>
      <c r="B170" s="449"/>
      <c r="C170" s="449"/>
      <c r="D170" s="454"/>
      <c r="E170" s="452">
        <v>730803</v>
      </c>
      <c r="F170" s="453" t="s">
        <v>464</v>
      </c>
      <c r="G170" s="451">
        <v>80</v>
      </c>
      <c r="H170" s="451"/>
      <c r="I170" s="436">
        <f t="shared" si="48"/>
        <v>80</v>
      </c>
      <c r="J170" s="437">
        <v>0.25</v>
      </c>
      <c r="K170" s="437">
        <v>0.25</v>
      </c>
      <c r="L170" s="437">
        <v>0.5</v>
      </c>
      <c r="M170" s="438">
        <v>1</v>
      </c>
      <c r="N170" s="439">
        <f t="shared" si="44"/>
        <v>20</v>
      </c>
      <c r="O170" s="439">
        <f t="shared" si="45"/>
        <v>20</v>
      </c>
      <c r="P170" s="439">
        <f t="shared" si="46"/>
        <v>40</v>
      </c>
      <c r="Q170" s="439">
        <f t="shared" si="47"/>
        <v>80</v>
      </c>
    </row>
    <row r="171" spans="1:17" ht="19.5" customHeight="1" x14ac:dyDescent="0.25">
      <c r="A171" s="440"/>
      <c r="B171" s="449"/>
      <c r="C171" s="449"/>
      <c r="D171" s="454"/>
      <c r="E171" s="450">
        <v>730811</v>
      </c>
      <c r="F171" s="444" t="s">
        <v>465</v>
      </c>
      <c r="G171" s="451">
        <v>500</v>
      </c>
      <c r="H171" s="451"/>
      <c r="I171" s="436">
        <f t="shared" si="48"/>
        <v>500</v>
      </c>
      <c r="J171" s="437">
        <v>0.25</v>
      </c>
      <c r="K171" s="437">
        <v>0.25</v>
      </c>
      <c r="L171" s="437">
        <v>0.5</v>
      </c>
      <c r="M171" s="438">
        <v>1</v>
      </c>
      <c r="N171" s="439">
        <f t="shared" si="44"/>
        <v>125</v>
      </c>
      <c r="O171" s="439">
        <f t="shared" si="45"/>
        <v>125</v>
      </c>
      <c r="P171" s="439">
        <f t="shared" si="46"/>
        <v>250</v>
      </c>
      <c r="Q171" s="439">
        <f t="shared" si="47"/>
        <v>500</v>
      </c>
    </row>
    <row r="172" spans="1:17" ht="30.75" customHeight="1" x14ac:dyDescent="0.25">
      <c r="A172" s="440"/>
      <c r="B172" s="449"/>
      <c r="C172" s="455"/>
      <c r="D172" s="454"/>
      <c r="E172" s="450">
        <v>730814.01</v>
      </c>
      <c r="F172" s="444" t="s">
        <v>546</v>
      </c>
      <c r="G172" s="451">
        <v>700</v>
      </c>
      <c r="H172" s="451"/>
      <c r="I172" s="436">
        <f t="shared" si="48"/>
        <v>700</v>
      </c>
      <c r="J172" s="437">
        <v>0.25</v>
      </c>
      <c r="K172" s="437">
        <v>0.25</v>
      </c>
      <c r="L172" s="437">
        <v>0.5</v>
      </c>
      <c r="M172" s="438">
        <v>1</v>
      </c>
      <c r="N172" s="439">
        <f t="shared" si="44"/>
        <v>175</v>
      </c>
      <c r="O172" s="439">
        <f t="shared" si="45"/>
        <v>175</v>
      </c>
      <c r="P172" s="439">
        <f t="shared" si="46"/>
        <v>350</v>
      </c>
      <c r="Q172" s="439">
        <f t="shared" si="47"/>
        <v>700</v>
      </c>
    </row>
    <row r="173" spans="1:17" ht="22.5" customHeight="1" x14ac:dyDescent="0.25">
      <c r="A173" s="440"/>
      <c r="B173" s="449"/>
      <c r="C173" s="448" t="s">
        <v>547</v>
      </c>
      <c r="D173" s="448" t="s">
        <v>548</v>
      </c>
      <c r="E173" s="450">
        <v>731515</v>
      </c>
      <c r="F173" s="456" t="s">
        <v>418</v>
      </c>
      <c r="G173" s="439">
        <v>400</v>
      </c>
      <c r="H173" s="439"/>
      <c r="I173" s="436">
        <f t="shared" si="48"/>
        <v>400</v>
      </c>
      <c r="J173" s="437">
        <v>0.25</v>
      </c>
      <c r="K173" s="437">
        <v>0.25</v>
      </c>
      <c r="L173" s="437">
        <v>0.5</v>
      </c>
      <c r="M173" s="438">
        <v>1</v>
      </c>
      <c r="N173" s="439">
        <f t="shared" si="44"/>
        <v>100</v>
      </c>
      <c r="O173" s="439">
        <f t="shared" si="45"/>
        <v>100</v>
      </c>
      <c r="P173" s="439">
        <f t="shared" si="46"/>
        <v>200</v>
      </c>
      <c r="Q173" s="439">
        <f t="shared" si="47"/>
        <v>400</v>
      </c>
    </row>
    <row r="174" spans="1:17" ht="20.25" customHeight="1" x14ac:dyDescent="0.25">
      <c r="A174" s="440"/>
      <c r="B174" s="449"/>
      <c r="C174" s="449"/>
      <c r="D174" s="449"/>
      <c r="E174" s="450">
        <v>730823</v>
      </c>
      <c r="F174" s="456" t="s">
        <v>419</v>
      </c>
      <c r="G174" s="439">
        <v>500</v>
      </c>
      <c r="H174" s="439"/>
      <c r="I174" s="436">
        <f t="shared" si="48"/>
        <v>500</v>
      </c>
      <c r="J174" s="437">
        <v>0.25</v>
      </c>
      <c r="K174" s="437">
        <v>0.25</v>
      </c>
      <c r="L174" s="437">
        <v>0.5</v>
      </c>
      <c r="M174" s="438">
        <v>1</v>
      </c>
      <c r="N174" s="439">
        <f t="shared" si="44"/>
        <v>125</v>
      </c>
      <c r="O174" s="439">
        <f t="shared" si="45"/>
        <v>125</v>
      </c>
      <c r="P174" s="439">
        <f t="shared" si="46"/>
        <v>250</v>
      </c>
      <c r="Q174" s="439">
        <f t="shared" si="47"/>
        <v>500</v>
      </c>
    </row>
    <row r="175" spans="1:17" ht="18.75" customHeight="1" x14ac:dyDescent="0.25">
      <c r="A175" s="440"/>
      <c r="B175" s="449"/>
      <c r="C175" s="449"/>
      <c r="D175" s="449"/>
      <c r="E175" s="450">
        <v>731406</v>
      </c>
      <c r="F175" s="456" t="s">
        <v>420</v>
      </c>
      <c r="G175" s="439">
        <v>200</v>
      </c>
      <c r="H175" s="439"/>
      <c r="I175" s="436">
        <f t="shared" si="48"/>
        <v>200</v>
      </c>
      <c r="J175" s="437">
        <v>0.25</v>
      </c>
      <c r="K175" s="437">
        <v>0.25</v>
      </c>
      <c r="L175" s="437">
        <v>0.5</v>
      </c>
      <c r="M175" s="438">
        <v>1</v>
      </c>
      <c r="N175" s="439">
        <f t="shared" si="44"/>
        <v>50</v>
      </c>
      <c r="O175" s="439">
        <f t="shared" si="45"/>
        <v>50</v>
      </c>
      <c r="P175" s="439">
        <f t="shared" si="46"/>
        <v>100</v>
      </c>
      <c r="Q175" s="439">
        <f t="shared" si="47"/>
        <v>200</v>
      </c>
    </row>
    <row r="176" spans="1:17" ht="31.5" customHeight="1" x14ac:dyDescent="0.25">
      <c r="A176" s="440"/>
      <c r="B176" s="455"/>
      <c r="C176" s="455"/>
      <c r="D176" s="455"/>
      <c r="E176" s="443">
        <v>730814.41299999994</v>
      </c>
      <c r="F176" s="444" t="s">
        <v>539</v>
      </c>
      <c r="G176" s="439">
        <v>400</v>
      </c>
      <c r="H176" s="439">
        <v>-1200</v>
      </c>
      <c r="I176" s="436">
        <f t="shared" si="48"/>
        <v>-800</v>
      </c>
      <c r="J176" s="437"/>
      <c r="K176" s="437"/>
      <c r="L176" s="437"/>
      <c r="M176" s="438"/>
      <c r="N176" s="439"/>
      <c r="O176" s="439"/>
      <c r="P176" s="439"/>
      <c r="Q176" s="439"/>
    </row>
    <row r="177" spans="1:17" ht="21" customHeight="1" x14ac:dyDescent="0.25">
      <c r="A177" s="440"/>
      <c r="B177" s="454" t="s">
        <v>549</v>
      </c>
      <c r="C177" s="454" t="s">
        <v>550</v>
      </c>
      <c r="D177" s="448" t="s">
        <v>551</v>
      </c>
      <c r="E177" s="443">
        <v>710105</v>
      </c>
      <c r="F177" s="444" t="s">
        <v>125</v>
      </c>
      <c r="G177" s="436">
        <v>13032</v>
      </c>
      <c r="H177" s="436"/>
      <c r="I177" s="436">
        <f t="shared" si="48"/>
        <v>13032</v>
      </c>
      <c r="J177" s="437">
        <v>0.25</v>
      </c>
      <c r="K177" s="437">
        <v>0.25</v>
      </c>
      <c r="L177" s="437">
        <v>0.5</v>
      </c>
      <c r="M177" s="438">
        <v>1</v>
      </c>
      <c r="N177" s="439">
        <f t="shared" si="44"/>
        <v>3258</v>
      </c>
      <c r="O177" s="439">
        <f t="shared" si="45"/>
        <v>3258</v>
      </c>
      <c r="P177" s="439">
        <f t="shared" si="46"/>
        <v>6516</v>
      </c>
      <c r="Q177" s="439">
        <f t="shared" si="47"/>
        <v>13032</v>
      </c>
    </row>
    <row r="178" spans="1:17" ht="21" customHeight="1" x14ac:dyDescent="0.25">
      <c r="A178" s="440"/>
      <c r="B178" s="454"/>
      <c r="C178" s="454"/>
      <c r="D178" s="449"/>
      <c r="E178" s="443">
        <v>710203</v>
      </c>
      <c r="F178" s="444" t="s">
        <v>479</v>
      </c>
      <c r="G178" s="436">
        <v>1086</v>
      </c>
      <c r="H178" s="436"/>
      <c r="I178" s="436">
        <f t="shared" si="48"/>
        <v>1086</v>
      </c>
      <c r="J178" s="437">
        <v>0.25</v>
      </c>
      <c r="K178" s="437">
        <v>0.25</v>
      </c>
      <c r="L178" s="437">
        <v>0.5</v>
      </c>
      <c r="M178" s="438">
        <v>1</v>
      </c>
      <c r="N178" s="439">
        <f t="shared" si="44"/>
        <v>271.5</v>
      </c>
      <c r="O178" s="439">
        <f t="shared" si="45"/>
        <v>271.5</v>
      </c>
      <c r="P178" s="439">
        <f t="shared" si="46"/>
        <v>543</v>
      </c>
      <c r="Q178" s="439">
        <f t="shared" si="47"/>
        <v>1086</v>
      </c>
    </row>
    <row r="179" spans="1:17" ht="21" customHeight="1" x14ac:dyDescent="0.25">
      <c r="A179" s="440"/>
      <c r="B179" s="454"/>
      <c r="C179" s="454"/>
      <c r="D179" s="449"/>
      <c r="E179" s="443">
        <v>710204</v>
      </c>
      <c r="F179" s="444" t="s">
        <v>480</v>
      </c>
      <c r="G179" s="436">
        <v>850</v>
      </c>
      <c r="H179" s="436"/>
      <c r="I179" s="436">
        <f t="shared" si="48"/>
        <v>850</v>
      </c>
      <c r="J179" s="437">
        <v>0.25</v>
      </c>
      <c r="K179" s="437">
        <v>0.25</v>
      </c>
      <c r="L179" s="437">
        <v>0.5</v>
      </c>
      <c r="M179" s="438">
        <v>1</v>
      </c>
      <c r="N179" s="439">
        <f t="shared" si="44"/>
        <v>212.5</v>
      </c>
      <c r="O179" s="439">
        <f t="shared" si="45"/>
        <v>212.5</v>
      </c>
      <c r="P179" s="439">
        <f t="shared" si="46"/>
        <v>425</v>
      </c>
      <c r="Q179" s="439">
        <f t="shared" si="47"/>
        <v>850</v>
      </c>
    </row>
    <row r="180" spans="1:17" ht="21" customHeight="1" x14ac:dyDescent="0.25">
      <c r="A180" s="440"/>
      <c r="B180" s="454"/>
      <c r="C180" s="454"/>
      <c r="D180" s="449"/>
      <c r="E180" s="443">
        <v>710601</v>
      </c>
      <c r="F180" s="444" t="s">
        <v>481</v>
      </c>
      <c r="G180" s="436">
        <v>2310.1999999999998</v>
      </c>
      <c r="H180" s="436"/>
      <c r="I180" s="436">
        <f t="shared" si="48"/>
        <v>2310.1999999999998</v>
      </c>
      <c r="J180" s="437">
        <v>0.25</v>
      </c>
      <c r="K180" s="437">
        <v>0.25</v>
      </c>
      <c r="L180" s="437">
        <v>0.5</v>
      </c>
      <c r="M180" s="438">
        <v>1</v>
      </c>
      <c r="N180" s="439">
        <f t="shared" si="44"/>
        <v>577.54999999999995</v>
      </c>
      <c r="O180" s="439">
        <f t="shared" si="45"/>
        <v>577.54999999999995</v>
      </c>
      <c r="P180" s="439">
        <f t="shared" si="46"/>
        <v>1155.0999999999999</v>
      </c>
      <c r="Q180" s="439">
        <f t="shared" si="47"/>
        <v>2310.1999999999998</v>
      </c>
    </row>
    <row r="181" spans="1:17" ht="21" customHeight="1" x14ac:dyDescent="0.25">
      <c r="A181" s="440"/>
      <c r="B181" s="454"/>
      <c r="C181" s="454"/>
      <c r="D181" s="449"/>
      <c r="E181" s="443">
        <v>710602</v>
      </c>
      <c r="F181" s="444" t="s">
        <v>482</v>
      </c>
      <c r="G181" s="436">
        <v>1086</v>
      </c>
      <c r="H181" s="436"/>
      <c r="I181" s="436">
        <f t="shared" si="48"/>
        <v>1086</v>
      </c>
      <c r="J181" s="437">
        <v>0.25</v>
      </c>
      <c r="K181" s="437">
        <v>0.25</v>
      </c>
      <c r="L181" s="437">
        <v>0.5</v>
      </c>
      <c r="M181" s="438">
        <v>1</v>
      </c>
      <c r="N181" s="439">
        <f t="shared" si="44"/>
        <v>271.5</v>
      </c>
      <c r="O181" s="439">
        <f t="shared" si="45"/>
        <v>271.5</v>
      </c>
      <c r="P181" s="439">
        <f t="shared" si="46"/>
        <v>543</v>
      </c>
      <c r="Q181" s="439">
        <f t="shared" si="47"/>
        <v>1086</v>
      </c>
    </row>
    <row r="182" spans="1:17" ht="36" customHeight="1" x14ac:dyDescent="0.25">
      <c r="A182" s="440"/>
      <c r="B182" s="454"/>
      <c r="C182" s="448" t="s">
        <v>552</v>
      </c>
      <c r="D182" s="449"/>
      <c r="E182" s="443">
        <v>730814.42700000003</v>
      </c>
      <c r="F182" s="444" t="s">
        <v>539</v>
      </c>
      <c r="G182" s="436">
        <v>6500</v>
      </c>
      <c r="H182" s="436"/>
      <c r="I182" s="436">
        <f t="shared" si="48"/>
        <v>6500</v>
      </c>
      <c r="J182" s="437">
        <v>0.25</v>
      </c>
      <c r="K182" s="437">
        <v>0.25</v>
      </c>
      <c r="L182" s="437">
        <v>0.5</v>
      </c>
      <c r="M182" s="438">
        <v>1</v>
      </c>
      <c r="N182" s="439">
        <f t="shared" si="44"/>
        <v>1625</v>
      </c>
      <c r="O182" s="439">
        <f t="shared" si="45"/>
        <v>1625</v>
      </c>
      <c r="P182" s="439">
        <f t="shared" si="46"/>
        <v>3250</v>
      </c>
      <c r="Q182" s="439">
        <f t="shared" si="47"/>
        <v>6500</v>
      </c>
    </row>
    <row r="183" spans="1:17" ht="23.25" customHeight="1" x14ac:dyDescent="0.25">
      <c r="A183" s="440"/>
      <c r="B183" s="454"/>
      <c r="C183" s="449"/>
      <c r="D183" s="449"/>
      <c r="E183" s="443">
        <v>730823</v>
      </c>
      <c r="F183" s="444" t="s">
        <v>544</v>
      </c>
      <c r="G183" s="436">
        <v>3200</v>
      </c>
      <c r="H183" s="436">
        <v>1800</v>
      </c>
      <c r="I183" s="436">
        <f t="shared" si="48"/>
        <v>5000</v>
      </c>
      <c r="J183" s="437">
        <v>0.25</v>
      </c>
      <c r="K183" s="437">
        <v>0.25</v>
      </c>
      <c r="L183" s="437">
        <v>0.5</v>
      </c>
      <c r="M183" s="438">
        <v>1</v>
      </c>
      <c r="N183" s="439">
        <f t="shared" si="44"/>
        <v>800</v>
      </c>
      <c r="O183" s="439">
        <f t="shared" si="45"/>
        <v>800</v>
      </c>
      <c r="P183" s="439">
        <f t="shared" si="46"/>
        <v>1600</v>
      </c>
      <c r="Q183" s="439">
        <f t="shared" si="47"/>
        <v>3200</v>
      </c>
    </row>
    <row r="184" spans="1:17" ht="27" customHeight="1" x14ac:dyDescent="0.25">
      <c r="A184" s="440"/>
      <c r="B184" s="454"/>
      <c r="C184" s="449"/>
      <c r="D184" s="449"/>
      <c r="E184" s="443">
        <v>730808</v>
      </c>
      <c r="F184" s="444" t="s">
        <v>553</v>
      </c>
      <c r="G184" s="436">
        <v>1000</v>
      </c>
      <c r="H184" s="436"/>
      <c r="I184" s="436">
        <f t="shared" si="48"/>
        <v>1000</v>
      </c>
      <c r="J184" s="437">
        <v>0.25</v>
      </c>
      <c r="K184" s="437">
        <v>0.25</v>
      </c>
      <c r="L184" s="437">
        <v>0.5</v>
      </c>
      <c r="M184" s="438">
        <v>1</v>
      </c>
      <c r="N184" s="439">
        <f t="shared" si="44"/>
        <v>250</v>
      </c>
      <c r="O184" s="439">
        <f t="shared" si="45"/>
        <v>250</v>
      </c>
      <c r="P184" s="439">
        <f t="shared" si="46"/>
        <v>500</v>
      </c>
      <c r="Q184" s="439">
        <f t="shared" si="47"/>
        <v>1000</v>
      </c>
    </row>
    <row r="185" spans="1:17" ht="19.5" customHeight="1" x14ac:dyDescent="0.25">
      <c r="A185" s="440"/>
      <c r="B185" s="454"/>
      <c r="C185" s="449"/>
      <c r="D185" s="449"/>
      <c r="E185" s="443">
        <v>730804</v>
      </c>
      <c r="F185" s="444" t="s">
        <v>483</v>
      </c>
      <c r="G185" s="436">
        <v>200</v>
      </c>
      <c r="H185" s="436"/>
      <c r="I185" s="436">
        <f t="shared" si="48"/>
        <v>200</v>
      </c>
      <c r="J185" s="437">
        <v>0.25</v>
      </c>
      <c r="K185" s="437">
        <v>0.25</v>
      </c>
      <c r="L185" s="437">
        <v>0.5</v>
      </c>
      <c r="M185" s="438">
        <v>1</v>
      </c>
      <c r="N185" s="439">
        <f t="shared" si="44"/>
        <v>50</v>
      </c>
      <c r="O185" s="439">
        <f t="shared" si="45"/>
        <v>50</v>
      </c>
      <c r="P185" s="439">
        <f t="shared" si="46"/>
        <v>100</v>
      </c>
      <c r="Q185" s="439">
        <f t="shared" si="47"/>
        <v>200</v>
      </c>
    </row>
    <row r="186" spans="1:17" ht="22.5" customHeight="1" x14ac:dyDescent="0.25">
      <c r="A186" s="440"/>
      <c r="B186" s="454"/>
      <c r="C186" s="449"/>
      <c r="D186" s="449"/>
      <c r="E186" s="443">
        <v>840104</v>
      </c>
      <c r="F186" s="444" t="s">
        <v>554</v>
      </c>
      <c r="G186" s="436">
        <v>13500</v>
      </c>
      <c r="H186" s="436">
        <v>-600</v>
      </c>
      <c r="I186" s="436">
        <f t="shared" si="48"/>
        <v>12900</v>
      </c>
      <c r="J186" s="437">
        <v>0.25</v>
      </c>
      <c r="K186" s="437">
        <v>0.25</v>
      </c>
      <c r="L186" s="437">
        <v>0.5</v>
      </c>
      <c r="M186" s="438">
        <v>1</v>
      </c>
      <c r="N186" s="439">
        <f t="shared" si="44"/>
        <v>3375</v>
      </c>
      <c r="O186" s="439">
        <f t="shared" si="45"/>
        <v>3375</v>
      </c>
      <c r="P186" s="439">
        <f t="shared" si="46"/>
        <v>6750</v>
      </c>
      <c r="Q186" s="439">
        <f t="shared" si="47"/>
        <v>13500</v>
      </c>
    </row>
    <row r="187" spans="1:17" ht="33.75" customHeight="1" x14ac:dyDescent="0.25">
      <c r="A187" s="440"/>
      <c r="B187" s="454"/>
      <c r="C187" s="449"/>
      <c r="D187" s="455"/>
      <c r="E187" s="443">
        <v>730829</v>
      </c>
      <c r="F187" s="444" t="s">
        <v>513</v>
      </c>
      <c r="G187" s="436">
        <v>0.01</v>
      </c>
      <c r="H187" s="436"/>
      <c r="I187" s="436">
        <f t="shared" si="48"/>
        <v>0.01</v>
      </c>
      <c r="J187" s="437">
        <v>0.25</v>
      </c>
      <c r="K187" s="437">
        <v>0.25</v>
      </c>
      <c r="L187" s="437">
        <v>0.5</v>
      </c>
      <c r="M187" s="438">
        <v>1</v>
      </c>
      <c r="N187" s="439">
        <f t="shared" si="44"/>
        <v>2.5000000000000001E-3</v>
      </c>
      <c r="O187" s="439">
        <f t="shared" si="45"/>
        <v>2.5000000000000001E-3</v>
      </c>
      <c r="P187" s="439">
        <f t="shared" si="46"/>
        <v>5.0000000000000001E-3</v>
      </c>
      <c r="Q187" s="439">
        <f t="shared" si="47"/>
        <v>0.01</v>
      </c>
    </row>
    <row r="188" spans="1:17" ht="33" customHeight="1" x14ac:dyDescent="0.25">
      <c r="A188" s="440"/>
      <c r="B188" s="454"/>
      <c r="C188" s="449"/>
      <c r="D188" s="448" t="s">
        <v>555</v>
      </c>
      <c r="E188" s="443">
        <v>730814.42700000003</v>
      </c>
      <c r="F188" s="444" t="s">
        <v>539</v>
      </c>
      <c r="G188" s="436">
        <v>500</v>
      </c>
      <c r="H188" s="436"/>
      <c r="I188" s="436">
        <f t="shared" si="48"/>
        <v>500</v>
      </c>
      <c r="J188" s="437">
        <v>0.25</v>
      </c>
      <c r="K188" s="437">
        <v>0.25</v>
      </c>
      <c r="L188" s="437">
        <v>0.5</v>
      </c>
      <c r="M188" s="438">
        <v>1</v>
      </c>
      <c r="N188" s="439">
        <f t="shared" si="44"/>
        <v>125</v>
      </c>
      <c r="O188" s="439">
        <f t="shared" si="45"/>
        <v>125</v>
      </c>
      <c r="P188" s="439">
        <f t="shared" si="46"/>
        <v>250</v>
      </c>
      <c r="Q188" s="439">
        <f t="shared" si="47"/>
        <v>500</v>
      </c>
    </row>
    <row r="189" spans="1:17" ht="21" customHeight="1" x14ac:dyDescent="0.25">
      <c r="A189" s="440"/>
      <c r="B189" s="454"/>
      <c r="C189" s="449"/>
      <c r="D189" s="449"/>
      <c r="E189" s="443">
        <v>730201</v>
      </c>
      <c r="F189" s="444" t="s">
        <v>530</v>
      </c>
      <c r="G189" s="436">
        <v>250</v>
      </c>
      <c r="H189" s="436"/>
      <c r="I189" s="436">
        <f t="shared" si="48"/>
        <v>250</v>
      </c>
      <c r="J189" s="437">
        <v>0.25</v>
      </c>
      <c r="K189" s="437">
        <v>0.25</v>
      </c>
      <c r="L189" s="437">
        <v>0.5</v>
      </c>
      <c r="M189" s="438">
        <v>1</v>
      </c>
      <c r="N189" s="439">
        <f t="shared" si="44"/>
        <v>62.5</v>
      </c>
      <c r="O189" s="439">
        <f t="shared" si="45"/>
        <v>62.5</v>
      </c>
      <c r="P189" s="439">
        <f t="shared" si="46"/>
        <v>125</v>
      </c>
      <c r="Q189" s="439">
        <f t="shared" si="47"/>
        <v>250</v>
      </c>
    </row>
    <row r="190" spans="1:17" ht="21" customHeight="1" x14ac:dyDescent="0.25">
      <c r="A190" s="440"/>
      <c r="B190" s="454"/>
      <c r="C190" s="455"/>
      <c r="D190" s="455"/>
      <c r="E190" s="443">
        <v>730808</v>
      </c>
      <c r="F190" s="444" t="s">
        <v>553</v>
      </c>
      <c r="G190" s="436">
        <v>100</v>
      </c>
      <c r="H190" s="436"/>
      <c r="I190" s="436">
        <f t="shared" si="48"/>
        <v>100</v>
      </c>
      <c r="J190" s="437">
        <v>0.25</v>
      </c>
      <c r="K190" s="437">
        <v>0.25</v>
      </c>
      <c r="L190" s="437">
        <v>0.5</v>
      </c>
      <c r="M190" s="438">
        <v>1</v>
      </c>
      <c r="N190" s="439">
        <f t="shared" si="44"/>
        <v>25</v>
      </c>
      <c r="O190" s="439">
        <f t="shared" si="45"/>
        <v>25</v>
      </c>
      <c r="P190" s="439">
        <f t="shared" si="46"/>
        <v>50</v>
      </c>
      <c r="Q190" s="439">
        <f t="shared" si="47"/>
        <v>100</v>
      </c>
    </row>
    <row r="191" spans="1:17" ht="21" customHeight="1" x14ac:dyDescent="0.25">
      <c r="A191" s="440"/>
      <c r="B191" s="454"/>
      <c r="C191" s="454" t="s">
        <v>556</v>
      </c>
      <c r="D191" s="454" t="s">
        <v>557</v>
      </c>
      <c r="E191" s="450">
        <v>731515</v>
      </c>
      <c r="F191" s="456" t="s">
        <v>418</v>
      </c>
      <c r="G191" s="439">
        <v>200</v>
      </c>
      <c r="H191" s="439"/>
      <c r="I191" s="436">
        <f t="shared" si="48"/>
        <v>200</v>
      </c>
      <c r="J191" s="437">
        <v>0.25</v>
      </c>
      <c r="K191" s="437">
        <v>0.25</v>
      </c>
      <c r="L191" s="437">
        <v>0.5</v>
      </c>
      <c r="M191" s="438">
        <v>1</v>
      </c>
      <c r="N191" s="439">
        <f t="shared" si="44"/>
        <v>50</v>
      </c>
      <c r="O191" s="439">
        <f t="shared" si="45"/>
        <v>50</v>
      </c>
      <c r="P191" s="439">
        <f t="shared" si="46"/>
        <v>100</v>
      </c>
      <c r="Q191" s="439">
        <f t="shared" si="47"/>
        <v>200</v>
      </c>
    </row>
    <row r="192" spans="1:17" ht="21" customHeight="1" x14ac:dyDescent="0.25">
      <c r="A192" s="440"/>
      <c r="B192" s="454"/>
      <c r="C192" s="454"/>
      <c r="D192" s="454"/>
      <c r="E192" s="450">
        <v>710510.41299999994</v>
      </c>
      <c r="F192" s="456" t="s">
        <v>558</v>
      </c>
      <c r="G192" s="439">
        <v>15300</v>
      </c>
      <c r="H192" s="439"/>
      <c r="I192" s="436">
        <f t="shared" si="48"/>
        <v>15300</v>
      </c>
      <c r="J192" s="437">
        <v>0.25</v>
      </c>
      <c r="K192" s="437">
        <v>0.25</v>
      </c>
      <c r="L192" s="437">
        <v>0.5</v>
      </c>
      <c r="M192" s="438">
        <v>1</v>
      </c>
      <c r="N192" s="439">
        <f t="shared" si="44"/>
        <v>3825</v>
      </c>
      <c r="O192" s="439">
        <f t="shared" si="45"/>
        <v>3825</v>
      </c>
      <c r="P192" s="439">
        <f t="shared" si="46"/>
        <v>7650</v>
      </c>
      <c r="Q192" s="439">
        <f t="shared" si="47"/>
        <v>15300</v>
      </c>
    </row>
    <row r="193" spans="1:17" ht="21" customHeight="1" x14ac:dyDescent="0.25">
      <c r="A193" s="440"/>
      <c r="B193" s="454"/>
      <c r="C193" s="454"/>
      <c r="D193" s="454"/>
      <c r="E193" s="450">
        <v>730823</v>
      </c>
      <c r="F193" s="456" t="s">
        <v>419</v>
      </c>
      <c r="G193" s="439">
        <v>200</v>
      </c>
      <c r="H193" s="439"/>
      <c r="I193" s="436">
        <f t="shared" si="48"/>
        <v>200</v>
      </c>
      <c r="J193" s="437">
        <v>0.25</v>
      </c>
      <c r="K193" s="437">
        <v>0.25</v>
      </c>
      <c r="L193" s="437">
        <v>0.5</v>
      </c>
      <c r="M193" s="438">
        <v>1</v>
      </c>
      <c r="N193" s="439">
        <f t="shared" si="44"/>
        <v>50</v>
      </c>
      <c r="O193" s="439">
        <f t="shared" si="45"/>
        <v>50</v>
      </c>
      <c r="P193" s="439">
        <f t="shared" si="46"/>
        <v>100</v>
      </c>
      <c r="Q193" s="439">
        <f t="shared" si="47"/>
        <v>200</v>
      </c>
    </row>
    <row r="194" spans="1:17" ht="21" customHeight="1" x14ac:dyDescent="0.25">
      <c r="A194" s="440"/>
      <c r="B194" s="454"/>
      <c r="C194" s="454"/>
      <c r="D194" s="454"/>
      <c r="E194" s="450">
        <v>731406</v>
      </c>
      <c r="F194" s="457" t="s">
        <v>420</v>
      </c>
      <c r="G194" s="439">
        <v>100</v>
      </c>
      <c r="H194" s="439"/>
      <c r="I194" s="436">
        <f t="shared" si="48"/>
        <v>100</v>
      </c>
      <c r="J194" s="437">
        <v>0.25</v>
      </c>
      <c r="K194" s="437">
        <v>0.25</v>
      </c>
      <c r="L194" s="437">
        <v>0.5</v>
      </c>
      <c r="M194" s="438">
        <v>1</v>
      </c>
      <c r="N194" s="439">
        <f t="shared" si="44"/>
        <v>25</v>
      </c>
      <c r="O194" s="439">
        <f t="shared" si="45"/>
        <v>25</v>
      </c>
      <c r="P194" s="439">
        <f t="shared" si="46"/>
        <v>50</v>
      </c>
      <c r="Q194" s="439">
        <f t="shared" si="47"/>
        <v>100</v>
      </c>
    </row>
    <row r="195" spans="1:17" ht="36" customHeight="1" x14ac:dyDescent="0.25">
      <c r="A195" s="361"/>
      <c r="B195" s="361"/>
      <c r="C195" s="361"/>
      <c r="D195" s="361"/>
      <c r="E195" s="361"/>
      <c r="F195" s="458" t="s">
        <v>559</v>
      </c>
      <c r="G195" s="459">
        <f>SUM(G140:G194)</f>
        <v>190833.07</v>
      </c>
      <c r="H195" s="459">
        <f>SUM(H9:H194)</f>
        <v>600</v>
      </c>
      <c r="I195" s="459">
        <f>SUM(I9:I194)</f>
        <v>607853.81999999995</v>
      </c>
      <c r="J195" s="361"/>
      <c r="K195" s="361"/>
      <c r="L195" s="361"/>
      <c r="M195" s="361"/>
      <c r="N195" s="361"/>
      <c r="O195" s="361"/>
      <c r="P195" s="361"/>
      <c r="Q195" s="361"/>
    </row>
    <row r="196" spans="1:17" ht="38.25" customHeight="1" x14ac:dyDescent="0.25">
      <c r="A196" s="361"/>
      <c r="B196" s="361"/>
      <c r="C196" s="361"/>
      <c r="D196" s="361"/>
      <c r="E196" s="361"/>
      <c r="F196" s="460"/>
      <c r="G196" s="461">
        <f>G195+G139+G91+G63+G38</f>
        <v>607253.82000000007</v>
      </c>
      <c r="H196" s="461">
        <f>+H195</f>
        <v>600</v>
      </c>
      <c r="I196" s="461">
        <f>+G196+H196</f>
        <v>607853.82000000007</v>
      </c>
      <c r="J196" s="361"/>
      <c r="K196" s="361"/>
      <c r="L196" s="361"/>
      <c r="M196" s="361"/>
      <c r="N196" s="361"/>
      <c r="O196" s="361"/>
      <c r="P196" s="361"/>
      <c r="Q196" s="361"/>
    </row>
    <row r="200" spans="1:17" ht="44.25" customHeight="1" x14ac:dyDescent="0.25">
      <c r="G200" s="463"/>
      <c r="H200" s="463"/>
      <c r="I200" s="463"/>
    </row>
    <row r="203" spans="1:17" x14ac:dyDescent="0.25">
      <c r="G203" s="464"/>
      <c r="H203" s="464"/>
      <c r="I203" s="464"/>
    </row>
  </sheetData>
  <autoFilter ref="E1:E196" xr:uid="{00000000-0001-0000-0000-000000000000}"/>
  <mergeCells count="86">
    <mergeCell ref="B177:B194"/>
    <mergeCell ref="C177:C181"/>
    <mergeCell ref="D177:D187"/>
    <mergeCell ref="C182:C190"/>
    <mergeCell ref="D188:D190"/>
    <mergeCell ref="C191:C194"/>
    <mergeCell ref="D191:D194"/>
    <mergeCell ref="D152:D163"/>
    <mergeCell ref="C164:C172"/>
    <mergeCell ref="D164:D168"/>
    <mergeCell ref="D169:D172"/>
    <mergeCell ref="C173:C176"/>
    <mergeCell ref="D173:D176"/>
    <mergeCell ref="C136:C138"/>
    <mergeCell ref="D136:D138"/>
    <mergeCell ref="A140:A194"/>
    <mergeCell ref="B140:B151"/>
    <mergeCell ref="C140:C148"/>
    <mergeCell ref="D140:D148"/>
    <mergeCell ref="C149:C150"/>
    <mergeCell ref="D149:D150"/>
    <mergeCell ref="B152:B176"/>
    <mergeCell ref="C152:C163"/>
    <mergeCell ref="D105:D110"/>
    <mergeCell ref="C111:C131"/>
    <mergeCell ref="D111:D122"/>
    <mergeCell ref="D123:D131"/>
    <mergeCell ref="C132:C135"/>
    <mergeCell ref="D132:D135"/>
    <mergeCell ref="A91:F91"/>
    <mergeCell ref="A92:A138"/>
    <mergeCell ref="B92:B102"/>
    <mergeCell ref="C92:C98"/>
    <mergeCell ref="D92:D98"/>
    <mergeCell ref="B103:B104"/>
    <mergeCell ref="C103:C104"/>
    <mergeCell ref="D103:D104"/>
    <mergeCell ref="B105:B138"/>
    <mergeCell ref="C105:C110"/>
    <mergeCell ref="D59:D62"/>
    <mergeCell ref="C63:F63"/>
    <mergeCell ref="A64:A90"/>
    <mergeCell ref="B64:B85"/>
    <mergeCell ref="C64:C85"/>
    <mergeCell ref="D64:D86"/>
    <mergeCell ref="B87:B90"/>
    <mergeCell ref="C87:C90"/>
    <mergeCell ref="D87:D90"/>
    <mergeCell ref="C31:C33"/>
    <mergeCell ref="D31:D33"/>
    <mergeCell ref="C34:C37"/>
    <mergeCell ref="D34:D37"/>
    <mergeCell ref="C38:F38"/>
    <mergeCell ref="A39:A62"/>
    <mergeCell ref="B39:B62"/>
    <mergeCell ref="C39:C58"/>
    <mergeCell ref="D39:D58"/>
    <mergeCell ref="C59:C62"/>
    <mergeCell ref="J7:M7"/>
    <mergeCell ref="N7:Q7"/>
    <mergeCell ref="A9:A37"/>
    <mergeCell ref="B9:B37"/>
    <mergeCell ref="C9:C20"/>
    <mergeCell ref="D9:D20"/>
    <mergeCell ref="C21:C24"/>
    <mergeCell ref="D21:D24"/>
    <mergeCell ref="C25:C30"/>
    <mergeCell ref="D25:D30"/>
    <mergeCell ref="A6:I6"/>
    <mergeCell ref="J6:Q6"/>
    <mergeCell ref="A7:A8"/>
    <mergeCell ref="B7:B8"/>
    <mergeCell ref="C7:C8"/>
    <mergeCell ref="D7:D8"/>
    <mergeCell ref="E7:E8"/>
    <mergeCell ref="F7:F8"/>
    <mergeCell ref="G7:G8"/>
    <mergeCell ref="H7:I7"/>
    <mergeCell ref="D1:F1"/>
    <mergeCell ref="J1:Q1"/>
    <mergeCell ref="A2:B3"/>
    <mergeCell ref="D2:Q2"/>
    <mergeCell ref="D3:Q3"/>
    <mergeCell ref="A4:B5"/>
    <mergeCell ref="D4:Q4"/>
    <mergeCell ref="D5:Q5"/>
  </mergeCells>
  <pageMargins left="0.118110236220472" right="0.118110236220472" top="0.74803149606299202" bottom="0.74803149606299202" header="0.31496062992126" footer="0.31496062992126"/>
  <pageSetup paperSize="9" scale="35"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95A5-6E6F-4134-82B9-4F37B434EB39}">
  <dimension ref="A1:AR137"/>
  <sheetViews>
    <sheetView topLeftCell="C113" zoomScale="85" zoomScaleNormal="85" workbookViewId="0">
      <selection activeCell="G122" sqref="G122"/>
    </sheetView>
  </sheetViews>
  <sheetFormatPr baseColWidth="10" defaultColWidth="13.5703125" defaultRowHeight="15" x14ac:dyDescent="0.25"/>
  <cols>
    <col min="5" max="5" width="17.42578125" customWidth="1"/>
    <col min="6" max="6" width="56" customWidth="1"/>
    <col min="7" max="7" width="17" customWidth="1"/>
    <col min="8" max="8" width="15.140625" customWidth="1"/>
    <col min="9" max="9" width="18.85546875" customWidth="1"/>
    <col min="18" max="18" width="0" style="465" hidden="1" customWidth="1"/>
    <col min="19" max="35" width="0" hidden="1" customWidth="1"/>
  </cols>
  <sheetData>
    <row r="1" spans="1:18" ht="48.75" customHeight="1" x14ac:dyDescent="0.25">
      <c r="B1" s="16"/>
      <c r="C1" s="16" t="s">
        <v>0</v>
      </c>
      <c r="D1" s="91" t="s">
        <v>560</v>
      </c>
      <c r="E1" s="91"/>
      <c r="F1" s="91"/>
      <c r="G1" s="16" t="s">
        <v>1</v>
      </c>
      <c r="H1" s="16"/>
      <c r="I1" s="16"/>
      <c r="J1" s="74" t="s">
        <v>561</v>
      </c>
      <c r="K1" s="74"/>
      <c r="L1" s="74"/>
      <c r="M1" s="74"/>
      <c r="N1" s="74"/>
      <c r="O1" s="74"/>
      <c r="P1" s="74"/>
      <c r="Q1" s="74"/>
    </row>
    <row r="2" spans="1:18" x14ac:dyDescent="0.25">
      <c r="A2" s="92" t="s">
        <v>91</v>
      </c>
      <c r="B2" s="92"/>
      <c r="C2" s="17" t="s">
        <v>6</v>
      </c>
      <c r="D2" s="85"/>
      <c r="E2" s="85"/>
      <c r="F2" s="85"/>
      <c r="G2" s="85"/>
      <c r="H2" s="85"/>
      <c r="I2" s="85"/>
      <c r="J2" s="85"/>
      <c r="K2" s="85"/>
      <c r="L2" s="85"/>
      <c r="M2" s="85"/>
      <c r="N2" s="85"/>
      <c r="O2" s="85"/>
      <c r="P2" s="85"/>
      <c r="Q2" s="85"/>
    </row>
    <row r="3" spans="1:18" x14ac:dyDescent="0.25">
      <c r="A3" s="92"/>
      <c r="B3" s="92"/>
      <c r="C3" s="17" t="s">
        <v>7</v>
      </c>
      <c r="D3" s="85"/>
      <c r="E3" s="85"/>
      <c r="F3" s="85"/>
      <c r="G3" s="85"/>
      <c r="H3" s="85"/>
      <c r="I3" s="85"/>
      <c r="J3" s="85"/>
      <c r="K3" s="85"/>
      <c r="L3" s="85"/>
      <c r="M3" s="85"/>
      <c r="N3" s="85"/>
      <c r="O3" s="85"/>
      <c r="P3" s="85"/>
      <c r="Q3" s="85"/>
    </row>
    <row r="4" spans="1:18" ht="22.5" x14ac:dyDescent="0.25">
      <c r="A4" s="83" t="s">
        <v>92</v>
      </c>
      <c r="B4" s="83"/>
      <c r="C4" s="18" t="s">
        <v>8</v>
      </c>
      <c r="D4" s="180"/>
      <c r="E4" s="181"/>
      <c r="F4" s="181"/>
      <c r="G4" s="181"/>
      <c r="H4" s="181"/>
      <c r="I4" s="181"/>
      <c r="J4" s="181"/>
      <c r="K4" s="181"/>
      <c r="L4" s="181"/>
      <c r="M4" s="181"/>
      <c r="N4" s="181"/>
      <c r="O4" s="181"/>
      <c r="P4" s="181"/>
      <c r="Q4" s="182"/>
    </row>
    <row r="5" spans="1:18" x14ac:dyDescent="0.25">
      <c r="A5" s="83"/>
      <c r="B5" s="83"/>
      <c r="C5" s="18" t="s">
        <v>9</v>
      </c>
      <c r="D5" s="183"/>
      <c r="E5" s="184"/>
      <c r="F5" s="184"/>
      <c r="G5" s="184"/>
      <c r="H5" s="184"/>
      <c r="I5" s="184"/>
      <c r="J5" s="184"/>
      <c r="K5" s="184"/>
      <c r="L5" s="184"/>
      <c r="M5" s="184"/>
      <c r="N5" s="184"/>
      <c r="O5" s="184"/>
      <c r="P5" s="184"/>
      <c r="Q5" s="185"/>
    </row>
    <row r="6" spans="1:18" x14ac:dyDescent="0.25">
      <c r="A6" s="86" t="s">
        <v>2</v>
      </c>
      <c r="B6" s="87"/>
      <c r="C6" s="87"/>
      <c r="D6" s="87"/>
      <c r="E6" s="87"/>
      <c r="F6" s="87"/>
      <c r="G6" s="88"/>
      <c r="H6" s="57"/>
      <c r="I6" s="57"/>
      <c r="J6" s="89" t="s">
        <v>3</v>
      </c>
      <c r="K6" s="90"/>
      <c r="L6" s="90"/>
      <c r="M6" s="90"/>
      <c r="N6" s="90"/>
      <c r="O6" s="90"/>
      <c r="P6" s="90"/>
      <c r="Q6" s="79"/>
    </row>
    <row r="7" spans="1:18" x14ac:dyDescent="0.25">
      <c r="A7" s="140" t="s">
        <v>10</v>
      </c>
      <c r="B7" s="140" t="s">
        <v>11</v>
      </c>
      <c r="C7" s="140" t="s">
        <v>12</v>
      </c>
      <c r="D7" s="140" t="s">
        <v>94</v>
      </c>
      <c r="E7" s="141" t="s">
        <v>13</v>
      </c>
      <c r="F7" s="140" t="s">
        <v>14</v>
      </c>
      <c r="G7" s="142" t="s">
        <v>95</v>
      </c>
      <c r="H7" s="466" t="s">
        <v>562</v>
      </c>
      <c r="I7" s="467"/>
      <c r="J7" s="79" t="s">
        <v>4</v>
      </c>
      <c r="K7" s="80"/>
      <c r="L7" s="80"/>
      <c r="M7" s="80"/>
      <c r="N7" s="80" t="s">
        <v>5</v>
      </c>
      <c r="O7" s="80"/>
      <c r="P7" s="80"/>
      <c r="Q7" s="80"/>
    </row>
    <row r="8" spans="1:18" x14ac:dyDescent="0.25">
      <c r="A8" s="143"/>
      <c r="B8" s="143"/>
      <c r="C8" s="143"/>
      <c r="D8" s="143"/>
      <c r="E8" s="144"/>
      <c r="F8" s="143"/>
      <c r="G8" s="145"/>
      <c r="H8" s="468" t="s">
        <v>122</v>
      </c>
      <c r="I8" s="468" t="s">
        <v>118</v>
      </c>
      <c r="J8" s="25" t="s">
        <v>15</v>
      </c>
      <c r="K8" s="25" t="s">
        <v>16</v>
      </c>
      <c r="L8" s="25" t="s">
        <v>17</v>
      </c>
      <c r="M8" s="25" t="s">
        <v>18</v>
      </c>
      <c r="N8" s="25" t="s">
        <v>15</v>
      </c>
      <c r="O8" s="25" t="s">
        <v>16</v>
      </c>
      <c r="P8" s="25" t="s">
        <v>17</v>
      </c>
      <c r="Q8" s="26" t="s">
        <v>18</v>
      </c>
    </row>
    <row r="9" spans="1:18" ht="15.75" customHeight="1" x14ac:dyDescent="0.25">
      <c r="A9" s="469" t="s">
        <v>563</v>
      </c>
      <c r="B9" s="470" t="s">
        <v>564</v>
      </c>
      <c r="C9" s="471" t="s">
        <v>565</v>
      </c>
      <c r="D9" s="472"/>
      <c r="E9" s="473">
        <v>360.71071000000001</v>
      </c>
      <c r="F9" s="474" t="s">
        <v>566</v>
      </c>
      <c r="G9" s="475">
        <v>1</v>
      </c>
      <c r="H9" s="475"/>
      <c r="I9" s="475">
        <f t="shared" ref="I9:I41" si="0">+G9+H9</f>
        <v>1</v>
      </c>
      <c r="J9" s="476"/>
      <c r="K9" s="476"/>
      <c r="L9" s="476"/>
      <c r="M9" s="477"/>
      <c r="N9" s="478"/>
      <c r="O9" s="478"/>
      <c r="P9" s="478"/>
      <c r="Q9" s="478"/>
      <c r="R9"/>
    </row>
    <row r="10" spans="1:18" ht="15.75" customHeight="1" x14ac:dyDescent="0.25">
      <c r="A10" s="469"/>
      <c r="B10" s="479"/>
      <c r="C10" s="471"/>
      <c r="D10" s="480"/>
      <c r="E10" s="473">
        <v>360.71070400000002</v>
      </c>
      <c r="F10" s="474" t="s">
        <v>567</v>
      </c>
      <c r="G10" s="475">
        <v>1</v>
      </c>
      <c r="H10" s="475"/>
      <c r="I10" s="475">
        <f t="shared" si="0"/>
        <v>1</v>
      </c>
      <c r="J10" s="476"/>
      <c r="K10" s="476"/>
      <c r="L10" s="476"/>
      <c r="M10" s="477"/>
      <c r="N10" s="478"/>
      <c r="O10" s="478"/>
      <c r="P10" s="478"/>
      <c r="Q10" s="478"/>
      <c r="R10"/>
    </row>
    <row r="11" spans="1:18" ht="15.75" customHeight="1" x14ac:dyDescent="0.25">
      <c r="A11" s="469"/>
      <c r="B11" s="479"/>
      <c r="C11" s="471"/>
      <c r="D11" s="480"/>
      <c r="E11" s="473">
        <v>360.710711</v>
      </c>
      <c r="F11" s="474" t="s">
        <v>568</v>
      </c>
      <c r="G11" s="475">
        <v>1</v>
      </c>
      <c r="H11" s="475"/>
      <c r="I11" s="475">
        <f t="shared" si="0"/>
        <v>1</v>
      </c>
      <c r="J11" s="476"/>
      <c r="K11" s="476"/>
      <c r="L11" s="476"/>
      <c r="M11" s="477"/>
      <c r="N11" s="478"/>
      <c r="O11" s="478"/>
      <c r="P11" s="478"/>
      <c r="Q11" s="478"/>
      <c r="R11"/>
    </row>
    <row r="12" spans="1:18" ht="15.75" customHeight="1" x14ac:dyDescent="0.25">
      <c r="A12" s="469"/>
      <c r="B12" s="479"/>
      <c r="C12" s="471"/>
      <c r="D12" s="480"/>
      <c r="E12" s="473">
        <v>360.71051199999999</v>
      </c>
      <c r="F12" s="474" t="s">
        <v>71</v>
      </c>
      <c r="G12" s="475">
        <v>1000</v>
      </c>
      <c r="H12" s="475"/>
      <c r="I12" s="475">
        <f t="shared" si="0"/>
        <v>1000</v>
      </c>
      <c r="J12" s="476"/>
      <c r="K12" s="476"/>
      <c r="L12" s="476"/>
      <c r="M12" s="477"/>
      <c r="N12" s="478"/>
      <c r="O12" s="478"/>
      <c r="P12" s="478"/>
      <c r="Q12" s="478"/>
      <c r="R12"/>
    </row>
    <row r="13" spans="1:18" ht="15.75" customHeight="1" x14ac:dyDescent="0.25">
      <c r="A13" s="469"/>
      <c r="B13" s="479"/>
      <c r="C13" s="471"/>
      <c r="D13" s="480"/>
      <c r="E13" s="473">
        <v>360.710105</v>
      </c>
      <c r="F13" s="474" t="s">
        <v>569</v>
      </c>
      <c r="G13" s="475">
        <f>[3]Nomina!$F$7</f>
        <v>15816</v>
      </c>
      <c r="H13" s="475"/>
      <c r="I13" s="475">
        <f t="shared" si="0"/>
        <v>15816</v>
      </c>
      <c r="J13" s="476"/>
      <c r="K13" s="476"/>
      <c r="L13" s="476"/>
      <c r="M13" s="477"/>
      <c r="N13" s="478"/>
      <c r="O13" s="478"/>
      <c r="P13" s="478"/>
      <c r="Q13" s="478"/>
      <c r="R13"/>
    </row>
    <row r="14" spans="1:18" ht="15.75" customHeight="1" x14ac:dyDescent="0.25">
      <c r="A14" s="469"/>
      <c r="B14" s="479"/>
      <c r="C14" s="471"/>
      <c r="D14" s="480"/>
      <c r="E14" s="473">
        <v>360.710106</v>
      </c>
      <c r="F14" s="474" t="s">
        <v>570</v>
      </c>
      <c r="G14" s="475">
        <f>[3]Nomina!$F$13</f>
        <v>6425.16</v>
      </c>
      <c r="H14" s="475"/>
      <c r="I14" s="475">
        <f t="shared" si="0"/>
        <v>6425.16</v>
      </c>
      <c r="J14" s="476"/>
      <c r="K14" s="476"/>
      <c r="L14" s="476"/>
      <c r="M14" s="477"/>
      <c r="N14" s="478"/>
      <c r="O14" s="478"/>
      <c r="P14" s="478"/>
      <c r="Q14" s="478"/>
      <c r="R14"/>
    </row>
    <row r="15" spans="1:18" ht="15.75" customHeight="1" x14ac:dyDescent="0.25">
      <c r="A15" s="469"/>
      <c r="B15" s="479"/>
      <c r="C15" s="471"/>
      <c r="D15" s="480"/>
      <c r="E15" s="473">
        <v>360.710106</v>
      </c>
      <c r="F15" s="474" t="s">
        <v>571</v>
      </c>
      <c r="G15" s="475">
        <v>72079.86</v>
      </c>
      <c r="H15" s="475"/>
      <c r="I15" s="475">
        <f t="shared" si="0"/>
        <v>72079.86</v>
      </c>
      <c r="J15" s="476"/>
      <c r="K15" s="476"/>
      <c r="L15" s="476"/>
      <c r="M15" s="477"/>
      <c r="N15" s="478"/>
      <c r="O15" s="478"/>
      <c r="P15" s="478"/>
      <c r="Q15" s="478"/>
      <c r="R15"/>
    </row>
    <row r="16" spans="1:18" ht="15.75" customHeight="1" x14ac:dyDescent="0.25">
      <c r="A16" s="469"/>
      <c r="B16" s="479"/>
      <c r="C16" s="471"/>
      <c r="D16" s="480"/>
      <c r="E16" s="473">
        <v>360.71020299999998</v>
      </c>
      <c r="F16" s="474" t="s">
        <v>572</v>
      </c>
      <c r="G16" s="475">
        <f>[3]Nomina!$I$15</f>
        <v>1853.4299999999998</v>
      </c>
      <c r="H16" s="475"/>
      <c r="I16" s="475">
        <f t="shared" si="0"/>
        <v>1853.4299999999998</v>
      </c>
      <c r="J16" s="476"/>
      <c r="K16" s="476"/>
      <c r="L16" s="476"/>
      <c r="M16" s="477"/>
      <c r="N16" s="478"/>
      <c r="O16" s="478"/>
      <c r="P16" s="478"/>
      <c r="Q16" s="478"/>
      <c r="R16"/>
    </row>
    <row r="17" spans="1:34" ht="15.75" customHeight="1" x14ac:dyDescent="0.25">
      <c r="A17" s="469"/>
      <c r="B17" s="479"/>
      <c r="C17" s="471"/>
      <c r="D17" s="480"/>
      <c r="E17" s="473">
        <v>360.71020299999998</v>
      </c>
      <c r="F17" s="474" t="s">
        <v>573</v>
      </c>
      <c r="G17" s="475">
        <f>[3]Nomina!$I$126</f>
        <v>6591.03</v>
      </c>
      <c r="H17" s="475"/>
      <c r="I17" s="475">
        <f t="shared" si="0"/>
        <v>6591.03</v>
      </c>
      <c r="J17" s="476"/>
      <c r="K17" s="476"/>
      <c r="L17" s="476"/>
      <c r="M17" s="477"/>
      <c r="N17" s="478"/>
      <c r="O17" s="478"/>
      <c r="P17" s="478"/>
      <c r="Q17" s="478"/>
      <c r="R17"/>
    </row>
    <row r="18" spans="1:34" ht="15.75" customHeight="1" x14ac:dyDescent="0.25">
      <c r="A18" s="469"/>
      <c r="B18" s="479"/>
      <c r="C18" s="471"/>
      <c r="D18" s="480"/>
      <c r="E18" s="473">
        <v>360.71020399999998</v>
      </c>
      <c r="F18" s="474" t="s">
        <v>574</v>
      </c>
      <c r="G18" s="475">
        <f>[3]Nomina!$J$15</f>
        <v>1275</v>
      </c>
      <c r="H18" s="475"/>
      <c r="I18" s="475">
        <f t="shared" si="0"/>
        <v>1275</v>
      </c>
      <c r="J18" s="476"/>
      <c r="K18" s="476"/>
      <c r="L18" s="476"/>
      <c r="M18" s="477"/>
      <c r="N18" s="478"/>
      <c r="O18" s="478"/>
      <c r="P18" s="478"/>
      <c r="Q18" s="478"/>
      <c r="R18"/>
    </row>
    <row r="19" spans="1:34" ht="15.75" customHeight="1" x14ac:dyDescent="0.25">
      <c r="A19" s="469"/>
      <c r="B19" s="479"/>
      <c r="C19" s="471"/>
      <c r="D19" s="480"/>
      <c r="E19" s="473">
        <v>360.710601</v>
      </c>
      <c r="F19" s="474" t="s">
        <v>575</v>
      </c>
      <c r="G19" s="475">
        <f>[3]Nomina!$G$15</f>
        <v>2645.7090000000003</v>
      </c>
      <c r="H19" s="475"/>
      <c r="I19" s="475">
        <f t="shared" si="0"/>
        <v>2645.7090000000003</v>
      </c>
      <c r="J19" s="476"/>
      <c r="K19" s="476"/>
      <c r="L19" s="476"/>
      <c r="M19" s="477"/>
      <c r="N19" s="478"/>
      <c r="O19" s="478"/>
      <c r="P19" s="478"/>
      <c r="Q19" s="478"/>
      <c r="R19"/>
      <c r="AH19" s="481"/>
    </row>
    <row r="20" spans="1:34" ht="15.75" customHeight="1" x14ac:dyDescent="0.25">
      <c r="A20" s="469"/>
      <c r="B20" s="479"/>
      <c r="C20" s="471"/>
      <c r="D20" s="480"/>
      <c r="E20" s="473">
        <v>360.710601</v>
      </c>
      <c r="F20" s="474" t="s">
        <v>576</v>
      </c>
      <c r="G20" s="475">
        <f>[3]Nomina!$G$126</f>
        <v>9886.5499999999993</v>
      </c>
      <c r="H20" s="475"/>
      <c r="I20" s="475">
        <f t="shared" si="0"/>
        <v>9886.5499999999993</v>
      </c>
      <c r="J20" s="476"/>
      <c r="K20" s="476"/>
      <c r="L20" s="476"/>
      <c r="M20" s="477"/>
      <c r="N20" s="478"/>
      <c r="O20" s="478"/>
      <c r="P20" s="478"/>
      <c r="Q20" s="478"/>
      <c r="R20"/>
      <c r="AH20" s="481"/>
    </row>
    <row r="21" spans="1:34" ht="15.75" customHeight="1" x14ac:dyDescent="0.25">
      <c r="A21" s="469"/>
      <c r="B21" s="479"/>
      <c r="C21" s="471"/>
      <c r="D21" s="480"/>
      <c r="E21" s="473">
        <v>360.71060199999999</v>
      </c>
      <c r="F21" s="474" t="s">
        <v>577</v>
      </c>
      <c r="G21" s="475">
        <f>[3]Nomina!$H$15</f>
        <v>1853.4299999999998</v>
      </c>
      <c r="H21" s="475"/>
      <c r="I21" s="475">
        <f t="shared" si="0"/>
        <v>1853.4299999999998</v>
      </c>
      <c r="J21" s="476"/>
      <c r="K21" s="476"/>
      <c r="L21" s="476"/>
      <c r="M21" s="477"/>
      <c r="N21" s="478"/>
      <c r="O21" s="478"/>
      <c r="P21" s="478"/>
      <c r="Q21" s="478"/>
      <c r="R21"/>
      <c r="AH21" s="482"/>
    </row>
    <row r="22" spans="1:34" ht="15.75" customHeight="1" x14ac:dyDescent="0.25">
      <c r="A22" s="469"/>
      <c r="B22" s="479"/>
      <c r="C22" s="471"/>
      <c r="D22" s="480"/>
      <c r="E22" s="473">
        <v>360.71060199999999</v>
      </c>
      <c r="F22" s="474" t="s">
        <v>578</v>
      </c>
      <c r="G22" s="475">
        <f>[3]Nomina!$H$126</f>
        <v>6591.03</v>
      </c>
      <c r="H22" s="475"/>
      <c r="I22" s="475">
        <f t="shared" si="0"/>
        <v>6591.03</v>
      </c>
      <c r="J22" s="476"/>
      <c r="K22" s="476"/>
      <c r="L22" s="476"/>
      <c r="M22" s="477"/>
      <c r="N22" s="478"/>
      <c r="O22" s="478"/>
      <c r="P22" s="478"/>
      <c r="Q22" s="478"/>
      <c r="R22"/>
      <c r="AH22" s="482"/>
    </row>
    <row r="23" spans="1:34" ht="15.75" customHeight="1" x14ac:dyDescent="0.25">
      <c r="A23" s="469"/>
      <c r="B23" s="479"/>
      <c r="C23" s="471"/>
      <c r="D23" s="480"/>
      <c r="E23" s="473">
        <v>360.71070600000002</v>
      </c>
      <c r="F23" s="474" t="s">
        <v>579</v>
      </c>
      <c r="G23" s="475">
        <f>207336+51859</f>
        <v>259195</v>
      </c>
      <c r="H23" s="475"/>
      <c r="I23" s="475">
        <f t="shared" si="0"/>
        <v>259195</v>
      </c>
      <c r="J23" s="476"/>
      <c r="K23" s="476"/>
      <c r="L23" s="476"/>
      <c r="M23" s="477"/>
      <c r="N23" s="478"/>
      <c r="O23" s="478"/>
      <c r="P23" s="478"/>
      <c r="Q23" s="478"/>
      <c r="R23"/>
      <c r="U23">
        <v>141700</v>
      </c>
    </row>
    <row r="24" spans="1:34" ht="15.75" customHeight="1" x14ac:dyDescent="0.25">
      <c r="A24" s="469"/>
      <c r="B24" s="479"/>
      <c r="C24" s="471"/>
      <c r="D24" s="480"/>
      <c r="E24" s="473">
        <v>360.71070700000001</v>
      </c>
      <c r="F24" s="474" t="s">
        <v>52</v>
      </c>
      <c r="G24" s="475">
        <v>3000</v>
      </c>
      <c r="H24" s="475"/>
      <c r="I24" s="475">
        <f t="shared" si="0"/>
        <v>3000</v>
      </c>
      <c r="J24" s="476"/>
      <c r="K24" s="476"/>
      <c r="L24" s="476"/>
      <c r="M24" s="477"/>
      <c r="N24" s="478"/>
      <c r="O24" s="478"/>
      <c r="P24" s="478"/>
      <c r="Q24" s="478"/>
      <c r="R24"/>
    </row>
    <row r="25" spans="1:34" ht="15.75" customHeight="1" x14ac:dyDescent="0.25">
      <c r="A25" s="469"/>
      <c r="B25" s="479"/>
      <c r="C25" s="471" t="s">
        <v>580</v>
      </c>
      <c r="D25" s="480"/>
      <c r="E25" s="473">
        <v>360.730301</v>
      </c>
      <c r="F25" s="474" t="s">
        <v>311</v>
      </c>
      <c r="G25" s="475">
        <v>300</v>
      </c>
      <c r="H25" s="475"/>
      <c r="I25" s="475">
        <f t="shared" si="0"/>
        <v>300</v>
      </c>
      <c r="J25" s="476">
        <v>0.3</v>
      </c>
      <c r="K25" s="476">
        <v>0.4</v>
      </c>
      <c r="L25" s="476">
        <v>0.3</v>
      </c>
      <c r="M25" s="477">
        <f t="shared" ref="M25:M32" si="1">SUM(J25:L25)</f>
        <v>1</v>
      </c>
      <c r="N25" s="478">
        <f>+G25*J25</f>
        <v>90</v>
      </c>
      <c r="O25" s="478">
        <f>+G25*K25</f>
        <v>120</v>
      </c>
      <c r="P25" s="478">
        <f>+G25*L25</f>
        <v>90</v>
      </c>
      <c r="Q25" s="478">
        <f t="shared" ref="Q25:Q32" si="2">SUM(N25:P25)</f>
        <v>300</v>
      </c>
      <c r="R25"/>
      <c r="S25" s="483" t="s">
        <v>581</v>
      </c>
      <c r="U25" s="484" t="s">
        <v>582</v>
      </c>
    </row>
    <row r="26" spans="1:34" ht="15.75" customHeight="1" x14ac:dyDescent="0.25">
      <c r="A26" s="469"/>
      <c r="B26" s="479"/>
      <c r="C26" s="471"/>
      <c r="D26" s="480"/>
      <c r="E26" s="473">
        <v>360.73030299999999</v>
      </c>
      <c r="F26" s="474" t="s">
        <v>132</v>
      </c>
      <c r="G26" s="475">
        <v>3000</v>
      </c>
      <c r="H26" s="475"/>
      <c r="I26" s="475">
        <f t="shared" si="0"/>
        <v>3000</v>
      </c>
      <c r="J26" s="476">
        <v>0.3</v>
      </c>
      <c r="K26" s="476">
        <v>0.4</v>
      </c>
      <c r="L26" s="476">
        <v>0.3</v>
      </c>
      <c r="M26" s="477">
        <f t="shared" si="1"/>
        <v>1</v>
      </c>
      <c r="N26" s="478">
        <f>+G26*J26</f>
        <v>900</v>
      </c>
      <c r="O26" s="478">
        <f>+G26*K26</f>
        <v>1200</v>
      </c>
      <c r="P26" s="478">
        <f>+G26*L26</f>
        <v>900</v>
      </c>
      <c r="Q26" s="478">
        <f t="shared" si="2"/>
        <v>3000</v>
      </c>
      <c r="R26"/>
      <c r="S26" s="483" t="s">
        <v>583</v>
      </c>
      <c r="U26" s="484" t="s">
        <v>584</v>
      </c>
    </row>
    <row r="27" spans="1:34" ht="15.75" customHeight="1" x14ac:dyDescent="0.25">
      <c r="A27" s="469"/>
      <c r="B27" s="479"/>
      <c r="C27" s="471"/>
      <c r="D27" s="480"/>
      <c r="E27" s="473">
        <v>360.73061200000001</v>
      </c>
      <c r="F27" s="474" t="s">
        <v>585</v>
      </c>
      <c r="G27" s="475">
        <v>1000</v>
      </c>
      <c r="H27" s="475"/>
      <c r="I27" s="475">
        <f t="shared" si="0"/>
        <v>1000</v>
      </c>
      <c r="J27" s="476">
        <v>0.3</v>
      </c>
      <c r="K27" s="476">
        <v>0.4</v>
      </c>
      <c r="L27" s="476">
        <v>0.3</v>
      </c>
      <c r="M27" s="477">
        <f t="shared" si="1"/>
        <v>1</v>
      </c>
      <c r="N27" s="478" t="e">
        <f>+#REF!*J27</f>
        <v>#REF!</v>
      </c>
      <c r="O27" s="478" t="e">
        <f>+#REF!*K27</f>
        <v>#REF!</v>
      </c>
      <c r="P27" s="478" t="e">
        <f>+#REF!*L27</f>
        <v>#REF!</v>
      </c>
      <c r="Q27" s="478" t="e">
        <f t="shared" si="2"/>
        <v>#REF!</v>
      </c>
      <c r="R27"/>
      <c r="S27" s="483" t="s">
        <v>586</v>
      </c>
      <c r="U27" s="484" t="s">
        <v>587</v>
      </c>
    </row>
    <row r="28" spans="1:34" ht="15.75" customHeight="1" x14ac:dyDescent="0.25">
      <c r="A28" s="469"/>
      <c r="B28" s="479"/>
      <c r="C28" s="471"/>
      <c r="D28" s="480"/>
      <c r="E28" s="485" t="s">
        <v>588</v>
      </c>
      <c r="F28" s="486" t="s">
        <v>589</v>
      </c>
      <c r="G28" s="475">
        <v>10000</v>
      </c>
      <c r="H28" s="475">
        <v>26000</v>
      </c>
      <c r="I28" s="475">
        <f t="shared" si="0"/>
        <v>36000</v>
      </c>
      <c r="J28" s="476">
        <v>0.3</v>
      </c>
      <c r="K28" s="476">
        <v>0.4</v>
      </c>
      <c r="L28" s="476">
        <v>0.3</v>
      </c>
      <c r="M28" s="477">
        <f t="shared" si="1"/>
        <v>1</v>
      </c>
      <c r="N28" s="478" t="e">
        <f>+#REF!*J28</f>
        <v>#REF!</v>
      </c>
      <c r="O28" s="478" t="e">
        <f>+#REF!*K28</f>
        <v>#REF!</v>
      </c>
      <c r="P28" s="478" t="e">
        <f>+#REF!*L28</f>
        <v>#REF!</v>
      </c>
      <c r="Q28" s="478" t="e">
        <f t="shared" si="2"/>
        <v>#REF!</v>
      </c>
      <c r="R28"/>
      <c r="S28" s="483" t="s">
        <v>590</v>
      </c>
      <c r="U28" s="484" t="s">
        <v>591</v>
      </c>
    </row>
    <row r="29" spans="1:34" ht="15.75" customHeight="1" x14ac:dyDescent="0.25">
      <c r="A29" s="469"/>
      <c r="B29" s="479"/>
      <c r="C29" s="471" t="s">
        <v>592</v>
      </c>
      <c r="D29" s="480"/>
      <c r="E29" s="473">
        <v>360.73020100000002</v>
      </c>
      <c r="F29" s="474" t="s">
        <v>593</v>
      </c>
      <c r="G29" s="475">
        <v>5000</v>
      </c>
      <c r="H29" s="475"/>
      <c r="I29" s="475">
        <f t="shared" si="0"/>
        <v>5000</v>
      </c>
      <c r="J29" s="476">
        <v>0.3</v>
      </c>
      <c r="K29" s="476">
        <v>0.4</v>
      </c>
      <c r="L29" s="476">
        <v>0.3</v>
      </c>
      <c r="M29" s="477">
        <f t="shared" si="1"/>
        <v>1</v>
      </c>
      <c r="N29" s="478">
        <f>+G29*J29</f>
        <v>1500</v>
      </c>
      <c r="O29" s="478">
        <f>+G29*K29</f>
        <v>2000</v>
      </c>
      <c r="P29" s="478">
        <f>+G29*L29</f>
        <v>1500</v>
      </c>
      <c r="Q29" s="478">
        <f t="shared" si="2"/>
        <v>5000</v>
      </c>
      <c r="R29"/>
      <c r="S29" s="483" t="s">
        <v>594</v>
      </c>
      <c r="U29" s="484" t="s">
        <v>595</v>
      </c>
    </row>
    <row r="30" spans="1:34" ht="15.75" customHeight="1" x14ac:dyDescent="0.25">
      <c r="A30" s="469"/>
      <c r="B30" s="479"/>
      <c r="C30" s="471"/>
      <c r="D30" s="480"/>
      <c r="E30" s="473">
        <v>730201.01</v>
      </c>
      <c r="F30" s="474" t="s">
        <v>596</v>
      </c>
      <c r="G30" s="475">
        <v>1455.17</v>
      </c>
      <c r="H30" s="475"/>
      <c r="I30" s="475">
        <f t="shared" si="0"/>
        <v>1455.17</v>
      </c>
      <c r="J30" s="476"/>
      <c r="K30" s="476"/>
      <c r="L30" s="476"/>
      <c r="M30" s="477"/>
      <c r="N30" s="478"/>
      <c r="O30" s="478"/>
      <c r="P30" s="478"/>
      <c r="Q30" s="478"/>
      <c r="R30"/>
      <c r="S30" s="483"/>
      <c r="U30" s="484"/>
    </row>
    <row r="31" spans="1:34" ht="15.75" customHeight="1" x14ac:dyDescent="0.25">
      <c r="A31" s="469"/>
      <c r="B31" s="479"/>
      <c r="C31" s="471"/>
      <c r="D31" s="480"/>
      <c r="E31" s="473">
        <v>360.73020200000002</v>
      </c>
      <c r="F31" s="474" t="s">
        <v>597</v>
      </c>
      <c r="G31" s="475">
        <v>2000</v>
      </c>
      <c r="H31" s="475"/>
      <c r="I31" s="475">
        <f t="shared" si="0"/>
        <v>2000</v>
      </c>
      <c r="J31" s="476">
        <v>0.3</v>
      </c>
      <c r="K31" s="476">
        <v>0.4</v>
      </c>
      <c r="L31" s="476">
        <v>0.3</v>
      </c>
      <c r="M31" s="477">
        <f t="shared" si="1"/>
        <v>1</v>
      </c>
      <c r="N31" s="478">
        <f>+G31*J31</f>
        <v>600</v>
      </c>
      <c r="O31" s="478">
        <f>+G31*K31</f>
        <v>800</v>
      </c>
      <c r="P31" s="478">
        <f>+G31*L31</f>
        <v>600</v>
      </c>
      <c r="Q31" s="478">
        <f t="shared" si="2"/>
        <v>2000</v>
      </c>
      <c r="R31"/>
      <c r="S31" s="483" t="s">
        <v>598</v>
      </c>
      <c r="U31" s="484" t="s">
        <v>599</v>
      </c>
    </row>
    <row r="32" spans="1:34" ht="15.75" customHeight="1" x14ac:dyDescent="0.25">
      <c r="A32" s="469"/>
      <c r="B32" s="479"/>
      <c r="C32" s="471"/>
      <c r="D32" s="480"/>
      <c r="E32" s="473">
        <v>360.77020099999999</v>
      </c>
      <c r="F32" s="474" t="s">
        <v>600</v>
      </c>
      <c r="G32" s="475">
        <v>6000</v>
      </c>
      <c r="H32" s="475"/>
      <c r="I32" s="475">
        <f t="shared" si="0"/>
        <v>6000</v>
      </c>
      <c r="J32" s="476">
        <v>1</v>
      </c>
      <c r="K32" s="476">
        <v>0</v>
      </c>
      <c r="L32" s="476">
        <v>0</v>
      </c>
      <c r="M32" s="477">
        <f t="shared" si="1"/>
        <v>1</v>
      </c>
      <c r="N32" s="478">
        <f>+G32*J32</f>
        <v>6000</v>
      </c>
      <c r="O32" s="478">
        <f>+G32*K32</f>
        <v>0</v>
      </c>
      <c r="P32" s="478">
        <f>+G32*L32</f>
        <v>0</v>
      </c>
      <c r="Q32" s="478">
        <f t="shared" si="2"/>
        <v>6000</v>
      </c>
      <c r="R32"/>
      <c r="S32" s="483" t="s">
        <v>601</v>
      </c>
      <c r="U32" s="484" t="s">
        <v>602</v>
      </c>
    </row>
    <row r="33" spans="1:21" ht="15.75" customHeight="1" x14ac:dyDescent="0.25">
      <c r="A33" s="469"/>
      <c r="B33" s="479"/>
      <c r="C33" s="487" t="s">
        <v>603</v>
      </c>
      <c r="D33" s="480"/>
      <c r="E33" s="473">
        <v>360.73010399999998</v>
      </c>
      <c r="F33" s="486" t="s">
        <v>604</v>
      </c>
      <c r="G33" s="475">
        <v>18000</v>
      </c>
      <c r="H33" s="475"/>
      <c r="I33" s="475">
        <f t="shared" si="0"/>
        <v>18000</v>
      </c>
      <c r="J33" s="476"/>
      <c r="K33" s="476"/>
      <c r="L33" s="476"/>
      <c r="M33" s="477"/>
      <c r="N33" s="478"/>
      <c r="O33" s="478"/>
      <c r="P33" s="478"/>
      <c r="Q33" s="478"/>
      <c r="R33"/>
    </row>
    <row r="34" spans="1:21" ht="15.75" customHeight="1" x14ac:dyDescent="0.25">
      <c r="A34" s="469"/>
      <c r="B34" s="479"/>
      <c r="C34" s="487"/>
      <c r="D34" s="480"/>
      <c r="E34" s="473">
        <v>360.73010499999998</v>
      </c>
      <c r="F34" s="486" t="s">
        <v>332</v>
      </c>
      <c r="G34" s="475">
        <v>15000</v>
      </c>
      <c r="H34" s="475"/>
      <c r="I34" s="475">
        <f t="shared" si="0"/>
        <v>15000</v>
      </c>
      <c r="J34" s="476"/>
      <c r="K34" s="476"/>
      <c r="L34" s="476"/>
      <c r="M34" s="477"/>
      <c r="N34" s="478"/>
      <c r="O34" s="478"/>
      <c r="P34" s="478"/>
      <c r="Q34" s="478"/>
      <c r="R34"/>
    </row>
    <row r="35" spans="1:21" ht="16.5" customHeight="1" x14ac:dyDescent="0.25">
      <c r="A35" s="469"/>
      <c r="B35" s="479"/>
      <c r="C35" s="487"/>
      <c r="D35" s="480"/>
      <c r="E35" s="485" t="s">
        <v>605</v>
      </c>
      <c r="F35" s="474" t="s">
        <v>606</v>
      </c>
      <c r="G35" s="475">
        <v>500</v>
      </c>
      <c r="H35" s="475"/>
      <c r="I35" s="475">
        <f t="shared" si="0"/>
        <v>500</v>
      </c>
      <c r="J35" s="476">
        <v>0.3</v>
      </c>
      <c r="K35" s="476">
        <v>0.4</v>
      </c>
      <c r="L35" s="476">
        <v>0.3</v>
      </c>
      <c r="M35" s="477">
        <f t="shared" ref="M35:M40" si="3">SUM(J35:L35)</f>
        <v>1</v>
      </c>
      <c r="N35" s="478">
        <f t="shared" ref="N35:N36" si="4">+G35*J35</f>
        <v>150</v>
      </c>
      <c r="O35" s="478">
        <f t="shared" ref="O35:O36" si="5">+G35*K35</f>
        <v>200</v>
      </c>
      <c r="P35" s="478">
        <f t="shared" ref="P35:P36" si="6">+G35*L35</f>
        <v>150</v>
      </c>
      <c r="Q35" s="478">
        <f t="shared" ref="Q35:Q40" si="7">SUM(N35:P35)</f>
        <v>500</v>
      </c>
      <c r="R35"/>
      <c r="S35" s="483" t="s">
        <v>607</v>
      </c>
      <c r="U35" s="484" t="s">
        <v>608</v>
      </c>
    </row>
    <row r="36" spans="1:21" x14ac:dyDescent="0.25">
      <c r="A36" s="469"/>
      <c r="B36" s="479"/>
      <c r="C36" s="487"/>
      <c r="D36" s="480"/>
      <c r="E36" s="473">
        <v>360.73040200000003</v>
      </c>
      <c r="F36" s="474" t="s">
        <v>609</v>
      </c>
      <c r="G36" s="475">
        <v>3000</v>
      </c>
      <c r="H36" s="475"/>
      <c r="I36" s="475">
        <f t="shared" si="0"/>
        <v>3000</v>
      </c>
      <c r="J36" s="476">
        <v>0.3</v>
      </c>
      <c r="K36" s="476">
        <v>0.4</v>
      </c>
      <c r="L36" s="476">
        <v>0.3</v>
      </c>
      <c r="M36" s="477">
        <f t="shared" si="3"/>
        <v>1</v>
      </c>
      <c r="N36" s="478">
        <f t="shared" si="4"/>
        <v>900</v>
      </c>
      <c r="O36" s="478">
        <f t="shared" si="5"/>
        <v>1200</v>
      </c>
      <c r="P36" s="478">
        <f t="shared" si="6"/>
        <v>900</v>
      </c>
      <c r="Q36" s="478">
        <f t="shared" si="7"/>
        <v>3000</v>
      </c>
      <c r="R36"/>
      <c r="S36" s="483" t="s">
        <v>610</v>
      </c>
      <c r="U36" s="483" t="s">
        <v>611</v>
      </c>
    </row>
    <row r="37" spans="1:21" ht="16.5" customHeight="1" x14ac:dyDescent="0.25">
      <c r="A37" s="469"/>
      <c r="B37" s="479"/>
      <c r="C37" s="487"/>
      <c r="D37" s="480"/>
      <c r="E37" s="473">
        <v>360.73080399999998</v>
      </c>
      <c r="F37" s="474" t="s">
        <v>25</v>
      </c>
      <c r="G37" s="475">
        <v>2000</v>
      </c>
      <c r="H37" s="475"/>
      <c r="I37" s="475">
        <f t="shared" si="0"/>
        <v>2000</v>
      </c>
      <c r="J37" s="476"/>
      <c r="K37" s="476"/>
      <c r="L37" s="476"/>
      <c r="M37" s="477"/>
      <c r="N37" s="478"/>
      <c r="O37" s="478"/>
      <c r="P37" s="478"/>
      <c r="Q37" s="478"/>
      <c r="R37"/>
      <c r="S37" s="483" t="s">
        <v>612</v>
      </c>
      <c r="U37" s="484" t="s">
        <v>613</v>
      </c>
    </row>
    <row r="38" spans="1:21" ht="16.5" customHeight="1" x14ac:dyDescent="0.25">
      <c r="A38" s="469"/>
      <c r="B38" s="479"/>
      <c r="C38" s="487"/>
      <c r="D38" s="480"/>
      <c r="E38" s="473">
        <v>360.73080499999998</v>
      </c>
      <c r="F38" s="474" t="s">
        <v>387</v>
      </c>
      <c r="G38" s="488">
        <v>1000</v>
      </c>
      <c r="H38" s="488"/>
      <c r="I38" s="475">
        <f t="shared" si="0"/>
        <v>1000</v>
      </c>
      <c r="J38" s="476">
        <v>0.3</v>
      </c>
      <c r="K38" s="476">
        <v>0.4</v>
      </c>
      <c r="L38" s="476">
        <v>0.3</v>
      </c>
      <c r="M38" s="477">
        <f t="shared" si="3"/>
        <v>1</v>
      </c>
      <c r="N38" s="478" t="e">
        <f>+#REF!*J38</f>
        <v>#REF!</v>
      </c>
      <c r="O38" s="478" t="e">
        <f>+#REF!*K38</f>
        <v>#REF!</v>
      </c>
      <c r="P38" s="478" t="e">
        <f>+#REF!*L38</f>
        <v>#REF!</v>
      </c>
      <c r="Q38" s="478" t="e">
        <f t="shared" si="7"/>
        <v>#REF!</v>
      </c>
      <c r="R38"/>
      <c r="S38" s="483" t="s">
        <v>614</v>
      </c>
      <c r="U38" s="484" t="s">
        <v>615</v>
      </c>
    </row>
    <row r="39" spans="1:21" ht="16.5" customHeight="1" x14ac:dyDescent="0.25">
      <c r="A39" s="469"/>
      <c r="B39" s="479"/>
      <c r="C39" s="487" t="s">
        <v>616</v>
      </c>
      <c r="D39" s="480"/>
      <c r="E39" s="473">
        <v>360.840103</v>
      </c>
      <c r="F39" s="474" t="s">
        <v>617</v>
      </c>
      <c r="G39" s="475">
        <v>2000</v>
      </c>
      <c r="H39" s="475"/>
      <c r="I39" s="475">
        <f t="shared" si="0"/>
        <v>2000</v>
      </c>
      <c r="J39" s="476">
        <v>0.3</v>
      </c>
      <c r="K39" s="476">
        <v>0.4</v>
      </c>
      <c r="L39" s="476">
        <v>0.3</v>
      </c>
      <c r="M39" s="477">
        <f t="shared" si="3"/>
        <v>1</v>
      </c>
      <c r="N39" s="478">
        <f>+G105*J39</f>
        <v>2100</v>
      </c>
      <c r="O39" s="478">
        <f>+G105*K39</f>
        <v>2800</v>
      </c>
      <c r="P39" s="478">
        <f>+G105*L39</f>
        <v>2100</v>
      </c>
      <c r="Q39" s="478">
        <f t="shared" si="7"/>
        <v>7000</v>
      </c>
      <c r="R39"/>
      <c r="S39" s="483" t="s">
        <v>618</v>
      </c>
      <c r="U39" s="484" t="s">
        <v>619</v>
      </c>
    </row>
    <row r="40" spans="1:21" ht="16.5" customHeight="1" x14ac:dyDescent="0.25">
      <c r="A40" s="469"/>
      <c r="B40" s="479"/>
      <c r="C40" s="487"/>
      <c r="D40" s="480"/>
      <c r="E40" s="473">
        <v>360.84010699999999</v>
      </c>
      <c r="F40" s="474" t="s">
        <v>620</v>
      </c>
      <c r="G40" s="475">
        <v>700</v>
      </c>
      <c r="H40" s="475"/>
      <c r="I40" s="475">
        <f t="shared" si="0"/>
        <v>700</v>
      </c>
      <c r="J40" s="476">
        <v>0.3</v>
      </c>
      <c r="K40" s="476">
        <v>0.4</v>
      </c>
      <c r="L40" s="476">
        <v>0.3</v>
      </c>
      <c r="M40" s="477">
        <f t="shared" si="3"/>
        <v>1</v>
      </c>
      <c r="N40" s="478">
        <f>+G56*J40</f>
        <v>9817.1999999999989</v>
      </c>
      <c r="O40" s="478">
        <f>+G56*K40</f>
        <v>13089.6</v>
      </c>
      <c r="P40" s="478">
        <f>+G56*L40</f>
        <v>9817.1999999999989</v>
      </c>
      <c r="Q40" s="478">
        <f t="shared" si="7"/>
        <v>32724</v>
      </c>
      <c r="R40"/>
      <c r="S40" s="483" t="s">
        <v>621</v>
      </c>
      <c r="U40" s="484" t="s">
        <v>622</v>
      </c>
    </row>
    <row r="41" spans="1:21" ht="16.5" customHeight="1" x14ac:dyDescent="0.25">
      <c r="A41" s="469"/>
      <c r="B41" s="479"/>
      <c r="C41" s="489" t="s">
        <v>623</v>
      </c>
      <c r="D41" s="490"/>
      <c r="E41" s="473" t="s">
        <v>624</v>
      </c>
      <c r="F41" s="474" t="s">
        <v>625</v>
      </c>
      <c r="G41" s="475">
        <v>249558.57</v>
      </c>
      <c r="H41" s="475"/>
      <c r="I41" s="475">
        <f t="shared" si="0"/>
        <v>249558.57</v>
      </c>
      <c r="J41" s="476"/>
      <c r="K41" s="476"/>
      <c r="L41" s="476"/>
      <c r="M41" s="477"/>
      <c r="N41" s="478"/>
      <c r="O41" s="478"/>
      <c r="P41" s="478"/>
      <c r="Q41" s="478"/>
      <c r="R41"/>
      <c r="S41" s="483"/>
      <c r="U41" s="491"/>
    </row>
    <row r="42" spans="1:21" ht="15.75" customHeight="1" x14ac:dyDescent="0.3">
      <c r="A42" s="469"/>
      <c r="B42" s="492"/>
      <c r="C42" s="493" t="s">
        <v>626</v>
      </c>
      <c r="D42" s="494"/>
      <c r="E42" s="494"/>
      <c r="F42" s="495"/>
      <c r="G42" s="496">
        <f>SUM(G9:G41)</f>
        <v>708728.93900000001</v>
      </c>
      <c r="H42" s="496"/>
      <c r="I42" s="496"/>
      <c r="J42" s="485"/>
      <c r="K42" s="474"/>
      <c r="L42" s="497"/>
      <c r="M42" s="476"/>
      <c r="N42" s="476"/>
      <c r="O42" s="476"/>
      <c r="P42" s="477"/>
      <c r="Q42" s="478"/>
      <c r="R42" s="498"/>
      <c r="S42" s="499"/>
      <c r="T42" s="499"/>
    </row>
    <row r="43" spans="1:21" ht="18" customHeight="1" x14ac:dyDescent="0.25">
      <c r="A43" s="469"/>
      <c r="B43" s="416" t="s">
        <v>627</v>
      </c>
      <c r="C43" s="500" t="s">
        <v>628</v>
      </c>
      <c r="D43" s="501"/>
      <c r="E43" s="473">
        <v>360.710105</v>
      </c>
      <c r="F43" s="474" t="s">
        <v>569</v>
      </c>
      <c r="G43" s="475">
        <f>[3]Nomina!$F$24</f>
        <v>42684</v>
      </c>
      <c r="H43" s="475"/>
      <c r="I43" s="475">
        <f t="shared" ref="I43:I54" si="8">+G43+H43</f>
        <v>42684</v>
      </c>
      <c r="J43" s="476">
        <v>0.3</v>
      </c>
      <c r="K43" s="476">
        <v>0.4</v>
      </c>
      <c r="L43" s="476">
        <v>0.3</v>
      </c>
      <c r="M43" s="477">
        <f t="shared" ref="M43:M83" si="9">SUM(J43:L43)</f>
        <v>1</v>
      </c>
      <c r="N43" s="478">
        <f>+G49*J43</f>
        <v>300</v>
      </c>
      <c r="O43" s="478">
        <f>+G49*K43</f>
        <v>400</v>
      </c>
      <c r="P43" s="478">
        <f>+G49*L43</f>
        <v>300</v>
      </c>
      <c r="Q43" s="478">
        <f t="shared" ref="Q43:Q83" si="10">SUM(N43:P43)</f>
        <v>1000</v>
      </c>
      <c r="R43"/>
      <c r="S43" s="502" t="s">
        <v>629</v>
      </c>
    </row>
    <row r="44" spans="1:21" ht="18" customHeight="1" x14ac:dyDescent="0.25">
      <c r="A44" s="469"/>
      <c r="B44" s="418"/>
      <c r="C44" s="500"/>
      <c r="D44" s="503"/>
      <c r="E44" s="473">
        <v>360.710106</v>
      </c>
      <c r="F44" s="474" t="s">
        <v>570</v>
      </c>
      <c r="G44" s="475">
        <f>[3]Nomina!$F$31</f>
        <v>10368</v>
      </c>
      <c r="H44" s="475"/>
      <c r="I44" s="475">
        <f t="shared" si="8"/>
        <v>10368</v>
      </c>
      <c r="J44" s="476"/>
      <c r="K44" s="476"/>
      <c r="L44" s="476"/>
      <c r="M44" s="477"/>
      <c r="N44" s="478"/>
      <c r="O44" s="478"/>
      <c r="P44" s="478"/>
      <c r="Q44" s="478"/>
      <c r="R44"/>
      <c r="S44" s="502"/>
    </row>
    <row r="45" spans="1:21" ht="18" customHeight="1" x14ac:dyDescent="0.25">
      <c r="A45" s="469"/>
      <c r="B45" s="418"/>
      <c r="C45" s="500"/>
      <c r="D45" s="503"/>
      <c r="E45" s="473">
        <v>360.71020299999998</v>
      </c>
      <c r="F45" s="474" t="s">
        <v>572</v>
      </c>
      <c r="G45" s="475">
        <f>[3]Nomina!$I$33</f>
        <v>4421</v>
      </c>
      <c r="H45" s="475"/>
      <c r="I45" s="475">
        <f t="shared" si="8"/>
        <v>4421</v>
      </c>
      <c r="J45" s="476"/>
      <c r="K45" s="476"/>
      <c r="L45" s="476"/>
      <c r="M45" s="477"/>
      <c r="N45" s="478"/>
      <c r="O45" s="478"/>
      <c r="P45" s="478"/>
      <c r="Q45" s="478"/>
      <c r="R45"/>
      <c r="S45" s="502"/>
    </row>
    <row r="46" spans="1:21" ht="18" customHeight="1" x14ac:dyDescent="0.25">
      <c r="A46" s="469"/>
      <c r="B46" s="418"/>
      <c r="C46" s="500"/>
      <c r="D46" s="503"/>
      <c r="E46" s="473">
        <v>360.71020399999998</v>
      </c>
      <c r="F46" s="474" t="s">
        <v>574</v>
      </c>
      <c r="G46" s="475">
        <f>[3]Nomina!$J$33</f>
        <v>2550</v>
      </c>
      <c r="H46" s="475"/>
      <c r="I46" s="475">
        <f t="shared" si="8"/>
        <v>2550</v>
      </c>
      <c r="J46" s="476"/>
      <c r="K46" s="476"/>
      <c r="L46" s="476"/>
      <c r="M46" s="477"/>
      <c r="N46" s="478"/>
      <c r="O46" s="478"/>
      <c r="P46" s="478"/>
      <c r="Q46" s="478"/>
      <c r="R46"/>
      <c r="S46" s="502"/>
    </row>
    <row r="47" spans="1:21" ht="18" customHeight="1" x14ac:dyDescent="0.25">
      <c r="A47" s="469"/>
      <c r="B47" s="418"/>
      <c r="C47" s="500"/>
      <c r="D47" s="503"/>
      <c r="E47" s="473">
        <v>360.710601</v>
      </c>
      <c r="F47" s="474" t="s">
        <v>575</v>
      </c>
      <c r="G47" s="475">
        <f>[3]Nomina!$G$33</f>
        <v>6268.6860000000006</v>
      </c>
      <c r="H47" s="475"/>
      <c r="I47" s="475">
        <f t="shared" si="8"/>
        <v>6268.6860000000006</v>
      </c>
      <c r="J47" s="476"/>
      <c r="K47" s="476"/>
      <c r="L47" s="476"/>
      <c r="M47" s="477"/>
      <c r="N47" s="478"/>
      <c r="O47" s="478"/>
      <c r="P47" s="478"/>
      <c r="Q47" s="478"/>
      <c r="R47"/>
      <c r="S47" s="502"/>
    </row>
    <row r="48" spans="1:21" ht="18" customHeight="1" x14ac:dyDescent="0.25">
      <c r="A48" s="469"/>
      <c r="B48" s="418"/>
      <c r="C48" s="500"/>
      <c r="D48" s="503"/>
      <c r="E48" s="473">
        <v>360.71060199999999</v>
      </c>
      <c r="F48" s="474" t="s">
        <v>577</v>
      </c>
      <c r="G48" s="475">
        <f>[3]Nomina!$H$33</f>
        <v>4421</v>
      </c>
      <c r="H48" s="475"/>
      <c r="I48" s="475">
        <f t="shared" si="8"/>
        <v>4421</v>
      </c>
      <c r="J48" s="476"/>
      <c r="K48" s="476"/>
      <c r="L48" s="476"/>
      <c r="M48" s="477"/>
      <c r="N48" s="478"/>
      <c r="O48" s="478"/>
      <c r="P48" s="478"/>
      <c r="Q48" s="478"/>
      <c r="R48"/>
      <c r="S48" s="502"/>
    </row>
    <row r="49" spans="1:34" ht="18" customHeight="1" x14ac:dyDescent="0.25">
      <c r="A49" s="469"/>
      <c r="B49" s="418"/>
      <c r="C49" s="500"/>
      <c r="D49" s="503"/>
      <c r="E49" s="473">
        <v>360.73060400000003</v>
      </c>
      <c r="F49" s="474" t="s">
        <v>630</v>
      </c>
      <c r="G49" s="475">
        <v>1000</v>
      </c>
      <c r="H49" s="475"/>
      <c r="I49" s="475">
        <f t="shared" si="8"/>
        <v>1000</v>
      </c>
      <c r="J49" s="476"/>
      <c r="K49" s="476"/>
      <c r="L49" s="476"/>
      <c r="M49" s="477"/>
      <c r="N49" s="478"/>
      <c r="O49" s="478"/>
      <c r="P49" s="478"/>
      <c r="Q49" s="478"/>
      <c r="R49"/>
      <c r="S49" s="502"/>
    </row>
    <row r="50" spans="1:34" ht="18" customHeight="1" x14ac:dyDescent="0.25">
      <c r="A50" s="469"/>
      <c r="B50" s="418"/>
      <c r="C50" s="500"/>
      <c r="D50" s="503"/>
      <c r="E50" s="504">
        <v>730605.61300000001</v>
      </c>
      <c r="F50" s="474" t="s">
        <v>631</v>
      </c>
      <c r="G50" s="475">
        <v>45106.84</v>
      </c>
      <c r="H50" s="475"/>
      <c r="I50" s="475">
        <f t="shared" si="8"/>
        <v>45106.84</v>
      </c>
      <c r="J50" s="476"/>
      <c r="K50" s="476"/>
      <c r="L50" s="476"/>
      <c r="M50" s="477"/>
      <c r="N50" s="478"/>
      <c r="O50" s="478"/>
      <c r="P50" s="478"/>
      <c r="Q50" s="478"/>
      <c r="R50"/>
      <c r="S50" s="502"/>
    </row>
    <row r="51" spans="1:34" ht="18" customHeight="1" x14ac:dyDescent="0.25">
      <c r="A51" s="469"/>
      <c r="B51" s="418"/>
      <c r="C51" s="500"/>
      <c r="D51" s="503"/>
      <c r="E51" s="473">
        <v>360.73060600000002</v>
      </c>
      <c r="F51" s="474" t="s">
        <v>632</v>
      </c>
      <c r="G51" s="475">
        <v>14544</v>
      </c>
      <c r="H51" s="475"/>
      <c r="I51" s="475">
        <f t="shared" si="8"/>
        <v>14544</v>
      </c>
      <c r="J51" s="476">
        <v>0.3</v>
      </c>
      <c r="K51" s="476">
        <v>0.4</v>
      </c>
      <c r="L51" s="476">
        <v>0.3</v>
      </c>
      <c r="M51" s="477">
        <f>SUM(J51:L51)</f>
        <v>1</v>
      </c>
      <c r="N51" s="478">
        <f>+G51*J51</f>
        <v>4363.2</v>
      </c>
      <c r="O51" s="478">
        <f>+G51*K51</f>
        <v>5817.6</v>
      </c>
      <c r="P51" s="478">
        <f>+G51*L51</f>
        <v>4363.2</v>
      </c>
      <c r="Q51" s="478">
        <f>SUM(N51:P51)</f>
        <v>14544</v>
      </c>
      <c r="R51"/>
      <c r="S51" s="502" t="s">
        <v>633</v>
      </c>
    </row>
    <row r="52" spans="1:34" ht="18" customHeight="1" x14ac:dyDescent="0.25">
      <c r="A52" s="469"/>
      <c r="B52" s="418"/>
      <c r="C52" s="500"/>
      <c r="D52" s="503"/>
      <c r="E52" s="485" t="s">
        <v>634</v>
      </c>
      <c r="F52" s="474" t="s">
        <v>635</v>
      </c>
      <c r="G52" s="475">
        <v>10000</v>
      </c>
      <c r="H52" s="475"/>
      <c r="I52" s="475">
        <f t="shared" si="8"/>
        <v>10000</v>
      </c>
      <c r="J52" s="476"/>
      <c r="K52" s="476"/>
      <c r="L52" s="476"/>
      <c r="M52" s="477"/>
      <c r="N52" s="478"/>
      <c r="O52" s="478"/>
      <c r="P52" s="478"/>
      <c r="Q52" s="478"/>
      <c r="R52"/>
      <c r="S52" s="502" t="s">
        <v>636</v>
      </c>
    </row>
    <row r="53" spans="1:34" ht="36.75" customHeight="1" x14ac:dyDescent="0.25">
      <c r="A53" s="469"/>
      <c r="B53" s="418"/>
      <c r="C53" s="489" t="s">
        <v>603</v>
      </c>
      <c r="D53" s="503"/>
      <c r="E53" s="485" t="s">
        <v>637</v>
      </c>
      <c r="F53" s="474" t="s">
        <v>638</v>
      </c>
      <c r="G53" s="475">
        <v>22000</v>
      </c>
      <c r="H53" s="475"/>
      <c r="I53" s="475">
        <f t="shared" si="8"/>
        <v>22000</v>
      </c>
      <c r="J53" s="476"/>
      <c r="K53" s="476"/>
      <c r="L53" s="476"/>
      <c r="M53" s="477"/>
      <c r="N53" s="478"/>
      <c r="O53" s="478"/>
      <c r="P53" s="478"/>
      <c r="Q53" s="478"/>
      <c r="R53"/>
      <c r="S53" s="502" t="s">
        <v>639</v>
      </c>
    </row>
    <row r="54" spans="1:34" ht="23.25" customHeight="1" x14ac:dyDescent="0.25">
      <c r="A54" s="469"/>
      <c r="B54" s="418"/>
      <c r="C54" s="505" t="s">
        <v>640</v>
      </c>
      <c r="D54" s="506"/>
      <c r="E54" s="473">
        <v>360.84030100000001</v>
      </c>
      <c r="F54" s="474" t="s">
        <v>641</v>
      </c>
      <c r="G54" s="475">
        <v>5000</v>
      </c>
      <c r="H54" s="475">
        <v>-200</v>
      </c>
      <c r="I54" s="475">
        <f t="shared" si="8"/>
        <v>4800</v>
      </c>
      <c r="J54" s="476">
        <v>0.3</v>
      </c>
      <c r="K54" s="476">
        <v>0.4</v>
      </c>
      <c r="L54" s="476">
        <v>0.3</v>
      </c>
      <c r="M54" s="477">
        <f t="shared" si="9"/>
        <v>1</v>
      </c>
      <c r="N54" s="478">
        <f>+G52*J54</f>
        <v>3000</v>
      </c>
      <c r="O54" s="478">
        <f>+G52*K54</f>
        <v>4000</v>
      </c>
      <c r="P54" s="478">
        <f>+G52*L54</f>
        <v>3000</v>
      </c>
      <c r="Q54" s="478">
        <f t="shared" si="10"/>
        <v>10000</v>
      </c>
      <c r="R54"/>
    </row>
    <row r="55" spans="1:34" ht="15" customHeight="1" x14ac:dyDescent="0.3">
      <c r="A55" s="469"/>
      <c r="B55" s="419"/>
      <c r="C55" s="387" t="s">
        <v>642</v>
      </c>
      <c r="D55" s="388"/>
      <c r="E55" s="388"/>
      <c r="F55" s="389"/>
      <c r="G55" s="496">
        <f>SUM(G43:G54)</f>
        <v>168363.52600000001</v>
      </c>
      <c r="H55" s="496"/>
      <c r="I55" s="496"/>
      <c r="J55" s="476">
        <v>1</v>
      </c>
      <c r="K55" s="476">
        <v>0</v>
      </c>
      <c r="L55" s="476">
        <v>0</v>
      </c>
      <c r="M55" s="477">
        <f t="shared" si="9"/>
        <v>1</v>
      </c>
      <c r="N55" s="478">
        <f t="shared" ref="N55:N78" si="11">+G55*J55</f>
        <v>168363.52600000001</v>
      </c>
      <c r="O55" s="478">
        <f t="shared" ref="O55:O78" si="12">+G55*K55</f>
        <v>0</v>
      </c>
      <c r="P55" s="478">
        <f t="shared" ref="P55:P74" si="13">+G55*L55</f>
        <v>0</v>
      </c>
      <c r="Q55" s="478">
        <f t="shared" si="10"/>
        <v>168363.52600000001</v>
      </c>
      <c r="R55"/>
    </row>
    <row r="56" spans="1:34" ht="18" customHeight="1" x14ac:dyDescent="0.25">
      <c r="A56" s="507" t="s">
        <v>643</v>
      </c>
      <c r="B56" s="508" t="s">
        <v>644</v>
      </c>
      <c r="C56" s="508" t="s">
        <v>645</v>
      </c>
      <c r="D56" s="487" t="s">
        <v>646</v>
      </c>
      <c r="E56" s="473">
        <v>360.710105</v>
      </c>
      <c r="F56" s="474" t="s">
        <v>569</v>
      </c>
      <c r="G56" s="475">
        <f>[3]Nomina!$F$42</f>
        <v>32724</v>
      </c>
      <c r="H56" s="475"/>
      <c r="I56" s="475">
        <f t="shared" ref="I56:I74" si="14">+G56+H56</f>
        <v>32724</v>
      </c>
      <c r="J56" s="476">
        <v>0.3</v>
      </c>
      <c r="K56" s="476">
        <v>0.4</v>
      </c>
      <c r="L56" s="476">
        <v>0.3</v>
      </c>
      <c r="M56" s="477">
        <f t="shared" si="9"/>
        <v>1</v>
      </c>
      <c r="N56" s="478">
        <f>+G27*J56</f>
        <v>300</v>
      </c>
      <c r="O56" s="478">
        <f>+G27*K56</f>
        <v>400</v>
      </c>
      <c r="P56" s="478">
        <f>+G27*L56</f>
        <v>300</v>
      </c>
      <c r="Q56" s="478">
        <f t="shared" si="10"/>
        <v>1000</v>
      </c>
      <c r="R56"/>
    </row>
    <row r="57" spans="1:34" ht="18" customHeight="1" x14ac:dyDescent="0.25">
      <c r="A57" s="509"/>
      <c r="B57" s="508"/>
      <c r="C57" s="508"/>
      <c r="D57" s="487"/>
      <c r="E57" s="473">
        <v>360.710106</v>
      </c>
      <c r="F57" s="474" t="s">
        <v>570</v>
      </c>
      <c r="G57" s="475">
        <f>[3]Nomina!$F$79</f>
        <v>143761.91999999998</v>
      </c>
      <c r="H57" s="475"/>
      <c r="I57" s="475">
        <f t="shared" si="14"/>
        <v>143761.91999999998</v>
      </c>
      <c r="J57" s="476"/>
      <c r="K57" s="476"/>
      <c r="L57" s="476"/>
      <c r="M57" s="477"/>
      <c r="N57" s="478"/>
      <c r="O57" s="478"/>
      <c r="P57" s="478"/>
      <c r="Q57" s="478"/>
      <c r="R57"/>
    </row>
    <row r="58" spans="1:34" ht="18" customHeight="1" x14ac:dyDescent="0.25">
      <c r="A58" s="509"/>
      <c r="B58" s="508"/>
      <c r="C58" s="508"/>
      <c r="D58" s="487"/>
      <c r="E58" s="473">
        <v>360.71051</v>
      </c>
      <c r="F58" s="474" t="s">
        <v>647</v>
      </c>
      <c r="G58" s="475">
        <f>[3]Nomina!$F$100</f>
        <v>110034</v>
      </c>
      <c r="H58" s="475"/>
      <c r="I58" s="475">
        <f t="shared" si="14"/>
        <v>110034</v>
      </c>
      <c r="J58" s="476"/>
      <c r="K58" s="476"/>
      <c r="L58" s="476"/>
      <c r="M58" s="477"/>
      <c r="N58" s="478"/>
      <c r="O58" s="478"/>
      <c r="P58" s="478"/>
      <c r="Q58" s="478"/>
      <c r="R58"/>
    </row>
    <row r="59" spans="1:34" ht="18" customHeight="1" x14ac:dyDescent="0.25">
      <c r="A59" s="509"/>
      <c r="B59" s="508"/>
      <c r="C59" s="508"/>
      <c r="D59" s="487"/>
      <c r="E59" s="473">
        <v>360.710509</v>
      </c>
      <c r="F59" s="474" t="s">
        <v>243</v>
      </c>
      <c r="G59" s="475">
        <v>6000</v>
      </c>
      <c r="H59" s="475"/>
      <c r="I59" s="475">
        <f t="shared" si="14"/>
        <v>6000</v>
      </c>
      <c r="J59" s="476"/>
      <c r="K59" s="476"/>
      <c r="L59" s="476"/>
      <c r="M59" s="477"/>
      <c r="N59" s="478"/>
      <c r="O59" s="478"/>
      <c r="P59" s="478"/>
      <c r="Q59" s="478"/>
      <c r="R59"/>
    </row>
    <row r="60" spans="1:34" ht="18" customHeight="1" x14ac:dyDescent="0.25">
      <c r="A60" s="509"/>
      <c r="B60" s="508"/>
      <c r="C60" s="508"/>
      <c r="D60" s="487"/>
      <c r="E60" s="473">
        <v>360.71020299999998</v>
      </c>
      <c r="F60" s="474" t="s">
        <v>572</v>
      </c>
      <c r="G60" s="475">
        <f>[3]Nomina!$I$100</f>
        <v>23876.659999999996</v>
      </c>
      <c r="H60" s="475"/>
      <c r="I60" s="475">
        <f t="shared" si="14"/>
        <v>23876.659999999996</v>
      </c>
      <c r="J60" s="476"/>
      <c r="K60" s="476"/>
      <c r="L60" s="476"/>
      <c r="M60" s="477"/>
      <c r="N60" s="478"/>
      <c r="O60" s="478"/>
      <c r="P60" s="478"/>
      <c r="Q60" s="478"/>
      <c r="R60"/>
      <c r="AH60" s="510"/>
    </row>
    <row r="61" spans="1:34" ht="18" customHeight="1" x14ac:dyDescent="0.25">
      <c r="A61" s="509"/>
      <c r="B61" s="508"/>
      <c r="C61" s="508"/>
      <c r="D61" s="487"/>
      <c r="E61" s="473">
        <v>360.71020399999998</v>
      </c>
      <c r="F61" s="474" t="s">
        <v>574</v>
      </c>
      <c r="G61" s="475">
        <f>[3]Nomina!$J$100</f>
        <v>19550</v>
      </c>
      <c r="H61" s="475"/>
      <c r="I61" s="475">
        <f t="shared" si="14"/>
        <v>19550</v>
      </c>
      <c r="J61" s="476"/>
      <c r="K61" s="476"/>
      <c r="L61" s="476"/>
      <c r="M61" s="477"/>
      <c r="N61" s="478"/>
      <c r="O61" s="478"/>
      <c r="P61" s="478"/>
      <c r="Q61" s="478"/>
      <c r="R61"/>
      <c r="AH61" s="511"/>
    </row>
    <row r="62" spans="1:34" ht="18" customHeight="1" x14ac:dyDescent="0.25">
      <c r="A62" s="509"/>
      <c r="B62" s="508"/>
      <c r="C62" s="508"/>
      <c r="D62" s="487"/>
      <c r="E62" s="473">
        <v>360.71030400000001</v>
      </c>
      <c r="F62" s="474" t="s">
        <v>411</v>
      </c>
      <c r="G62" s="475">
        <v>5184</v>
      </c>
      <c r="H62" s="475"/>
      <c r="I62" s="475">
        <f t="shared" si="14"/>
        <v>5184</v>
      </c>
      <c r="J62" s="476"/>
      <c r="K62" s="476"/>
      <c r="L62" s="476"/>
      <c r="M62" s="477"/>
      <c r="N62" s="478"/>
      <c r="O62" s="478"/>
      <c r="P62" s="478"/>
      <c r="Q62" s="478"/>
      <c r="R62"/>
    </row>
    <row r="63" spans="1:34" ht="18" customHeight="1" x14ac:dyDescent="0.25">
      <c r="A63" s="509"/>
      <c r="B63" s="508"/>
      <c r="C63" s="508"/>
      <c r="D63" s="487"/>
      <c r="E63" s="473">
        <v>360.710306</v>
      </c>
      <c r="F63" s="474" t="s">
        <v>648</v>
      </c>
      <c r="G63" s="475">
        <v>29304</v>
      </c>
      <c r="H63" s="475">
        <v>-700</v>
      </c>
      <c r="I63" s="475">
        <f t="shared" si="14"/>
        <v>28604</v>
      </c>
      <c r="J63" s="476"/>
      <c r="K63" s="476"/>
      <c r="L63" s="476"/>
      <c r="M63" s="477"/>
      <c r="N63" s="478"/>
      <c r="O63" s="478"/>
      <c r="P63" s="478"/>
      <c r="Q63" s="478"/>
      <c r="R63"/>
    </row>
    <row r="64" spans="1:34" ht="18" customHeight="1" x14ac:dyDescent="0.25">
      <c r="A64" s="509"/>
      <c r="B64" s="508"/>
      <c r="C64" s="508"/>
      <c r="D64" s="487"/>
      <c r="E64" s="473">
        <v>360.71040099999999</v>
      </c>
      <c r="F64" s="474" t="s">
        <v>649</v>
      </c>
      <c r="G64" s="475">
        <v>5400</v>
      </c>
      <c r="H64" s="475"/>
      <c r="I64" s="475">
        <f t="shared" si="14"/>
        <v>5400</v>
      </c>
      <c r="J64" s="476"/>
      <c r="K64" s="476"/>
      <c r="L64" s="476"/>
      <c r="M64" s="477"/>
      <c r="N64" s="478"/>
      <c r="O64" s="478"/>
      <c r="P64" s="478"/>
      <c r="Q64" s="478"/>
      <c r="R64"/>
    </row>
    <row r="65" spans="1:34" ht="18" customHeight="1" x14ac:dyDescent="0.25">
      <c r="A65" s="509"/>
      <c r="B65" s="508"/>
      <c r="C65" s="508"/>
      <c r="D65" s="487"/>
      <c r="E65" s="473">
        <v>360.71040199999999</v>
      </c>
      <c r="F65" s="474" t="s">
        <v>650</v>
      </c>
      <c r="G65" s="475">
        <v>1013.28</v>
      </c>
      <c r="H65" s="475"/>
      <c r="I65" s="475">
        <f t="shared" si="14"/>
        <v>1013.28</v>
      </c>
      <c r="J65" s="476"/>
      <c r="K65" s="476"/>
      <c r="L65" s="476"/>
      <c r="M65" s="477"/>
      <c r="N65" s="478"/>
      <c r="O65" s="478"/>
      <c r="P65" s="478"/>
      <c r="Q65" s="478"/>
      <c r="R65"/>
    </row>
    <row r="66" spans="1:34" ht="18" customHeight="1" x14ac:dyDescent="0.25">
      <c r="A66" s="509"/>
      <c r="B66" s="508"/>
      <c r="C66" s="508"/>
      <c r="D66" s="487"/>
      <c r="E66" s="473">
        <v>360.71040799999997</v>
      </c>
      <c r="F66" s="474" t="s">
        <v>651</v>
      </c>
      <c r="G66" s="475">
        <v>9888.11</v>
      </c>
      <c r="H66" s="475"/>
      <c r="I66" s="475">
        <f t="shared" si="14"/>
        <v>9888.11</v>
      </c>
      <c r="J66" s="476"/>
      <c r="K66" s="476"/>
      <c r="L66" s="476"/>
      <c r="M66" s="477"/>
      <c r="N66" s="478"/>
      <c r="O66" s="478"/>
      <c r="P66" s="478"/>
      <c r="Q66" s="478"/>
      <c r="R66"/>
    </row>
    <row r="67" spans="1:34" ht="18" customHeight="1" x14ac:dyDescent="0.25">
      <c r="A67" s="509"/>
      <c r="B67" s="508"/>
      <c r="C67" s="508"/>
      <c r="D67" s="487"/>
      <c r="E67" s="473">
        <v>360.710601</v>
      </c>
      <c r="F67" s="474" t="s">
        <v>86</v>
      </c>
      <c r="G67" s="475">
        <f>[3]Nomina!$G$100</f>
        <v>35304.837</v>
      </c>
      <c r="H67" s="475"/>
      <c r="I67" s="475">
        <f t="shared" si="14"/>
        <v>35304.837</v>
      </c>
      <c r="J67" s="476"/>
      <c r="K67" s="476"/>
      <c r="L67" s="476"/>
      <c r="M67" s="477"/>
      <c r="N67" s="478"/>
      <c r="O67" s="478"/>
      <c r="P67" s="478"/>
      <c r="Q67" s="478"/>
      <c r="R67"/>
      <c r="AH67" s="481"/>
    </row>
    <row r="68" spans="1:34" ht="18" customHeight="1" x14ac:dyDescent="0.25">
      <c r="A68" s="509"/>
      <c r="B68" s="508"/>
      <c r="C68" s="508"/>
      <c r="D68" s="487"/>
      <c r="E68" s="473">
        <v>360.71060199999999</v>
      </c>
      <c r="F68" s="474" t="s">
        <v>128</v>
      </c>
      <c r="G68" s="475">
        <f>[3]Nomina!$H$100</f>
        <v>23876.659999999996</v>
      </c>
      <c r="H68" s="475"/>
      <c r="I68" s="475">
        <f t="shared" si="14"/>
        <v>23876.659999999996</v>
      </c>
      <c r="J68" s="476"/>
      <c r="K68" s="476"/>
      <c r="L68" s="476"/>
      <c r="M68" s="477"/>
      <c r="N68" s="478"/>
      <c r="O68" s="478"/>
      <c r="P68" s="478"/>
      <c r="Q68" s="478"/>
      <c r="R68"/>
      <c r="AH68" s="482"/>
    </row>
    <row r="69" spans="1:34" ht="18" customHeight="1" x14ac:dyDescent="0.25">
      <c r="A69" s="509"/>
      <c r="B69" s="508"/>
      <c r="C69" s="508" t="s">
        <v>652</v>
      </c>
      <c r="D69" s="487"/>
      <c r="E69" s="473">
        <v>360.73040400000002</v>
      </c>
      <c r="F69" s="474" t="s">
        <v>653</v>
      </c>
      <c r="G69" s="475">
        <v>45000</v>
      </c>
      <c r="H69" s="475"/>
      <c r="I69" s="475">
        <f t="shared" si="14"/>
        <v>45000</v>
      </c>
      <c r="J69" s="497"/>
      <c r="K69" s="497"/>
      <c r="L69" s="497"/>
      <c r="M69" s="497"/>
      <c r="N69" s="497"/>
      <c r="O69" s="497"/>
      <c r="P69" s="497"/>
      <c r="Q69" s="497"/>
      <c r="R69"/>
    </row>
    <row r="70" spans="1:34" x14ac:dyDescent="0.25">
      <c r="A70" s="509"/>
      <c r="B70" s="508"/>
      <c r="C70" s="508"/>
      <c r="D70" s="487"/>
      <c r="E70" s="485" t="s">
        <v>654</v>
      </c>
      <c r="F70" s="474" t="s">
        <v>655</v>
      </c>
      <c r="G70" s="475">
        <v>14250</v>
      </c>
      <c r="H70" s="475"/>
      <c r="I70" s="475">
        <f t="shared" si="14"/>
        <v>14250</v>
      </c>
      <c r="J70" s="476"/>
      <c r="K70" s="476"/>
      <c r="L70" s="476"/>
      <c r="M70" s="477"/>
      <c r="N70" s="478"/>
      <c r="O70" s="478"/>
      <c r="P70" s="478"/>
      <c r="Q70" s="478"/>
      <c r="R70"/>
    </row>
    <row r="71" spans="1:34" ht="18.75" customHeight="1" x14ac:dyDescent="0.25">
      <c r="A71" s="509"/>
      <c r="B71" s="508"/>
      <c r="C71" s="508"/>
      <c r="D71" s="487"/>
      <c r="E71" s="485" t="s">
        <v>656</v>
      </c>
      <c r="F71" s="474" t="s">
        <v>657</v>
      </c>
      <c r="G71" s="475">
        <v>3000</v>
      </c>
      <c r="H71" s="475"/>
      <c r="I71" s="475">
        <f t="shared" si="14"/>
        <v>3000</v>
      </c>
      <c r="J71" s="476"/>
      <c r="K71" s="476"/>
      <c r="L71" s="476"/>
      <c r="M71" s="477"/>
      <c r="N71" s="478"/>
      <c r="O71" s="478"/>
      <c r="P71" s="478"/>
      <c r="Q71" s="478"/>
      <c r="R71"/>
    </row>
    <row r="72" spans="1:34" x14ac:dyDescent="0.25">
      <c r="A72" s="509"/>
      <c r="B72" s="508"/>
      <c r="C72" s="508"/>
      <c r="D72" s="487"/>
      <c r="E72" s="485" t="s">
        <v>658</v>
      </c>
      <c r="F72" s="474" t="s">
        <v>659</v>
      </c>
      <c r="G72" s="475">
        <f>100000+168</f>
        <v>100168</v>
      </c>
      <c r="H72" s="475"/>
      <c r="I72" s="475">
        <f t="shared" si="14"/>
        <v>100168</v>
      </c>
      <c r="J72" s="476">
        <v>0.3</v>
      </c>
      <c r="K72" s="476">
        <v>0.4</v>
      </c>
      <c r="L72" s="476">
        <v>0.3</v>
      </c>
      <c r="M72" s="477">
        <f t="shared" si="9"/>
        <v>1</v>
      </c>
      <c r="N72" s="478">
        <f t="shared" si="11"/>
        <v>30050.399999999998</v>
      </c>
      <c r="O72" s="478">
        <f t="shared" si="12"/>
        <v>40067.200000000004</v>
      </c>
      <c r="P72" s="478">
        <f t="shared" si="13"/>
        <v>30050.399999999998</v>
      </c>
      <c r="Q72" s="478">
        <f t="shared" si="10"/>
        <v>100168</v>
      </c>
      <c r="R72"/>
      <c r="S72" s="512" t="s">
        <v>660</v>
      </c>
    </row>
    <row r="73" spans="1:34" x14ac:dyDescent="0.25">
      <c r="A73" s="509"/>
      <c r="B73" s="508"/>
      <c r="C73" s="508"/>
      <c r="D73" s="487"/>
      <c r="E73" s="485" t="s">
        <v>661</v>
      </c>
      <c r="F73" s="474" t="s">
        <v>662</v>
      </c>
      <c r="G73" s="475">
        <v>3000</v>
      </c>
      <c r="H73" s="475"/>
      <c r="I73" s="475">
        <f t="shared" si="14"/>
        <v>3000</v>
      </c>
      <c r="J73" s="476">
        <v>1</v>
      </c>
      <c r="K73" s="476">
        <v>0</v>
      </c>
      <c r="L73" s="476">
        <v>0</v>
      </c>
      <c r="M73" s="477">
        <f t="shared" si="9"/>
        <v>1</v>
      </c>
      <c r="N73" s="478">
        <f t="shared" si="11"/>
        <v>3000</v>
      </c>
      <c r="O73" s="478">
        <f t="shared" si="12"/>
        <v>0</v>
      </c>
      <c r="P73" s="478">
        <f t="shared" si="13"/>
        <v>0</v>
      </c>
      <c r="Q73" s="478">
        <f t="shared" si="10"/>
        <v>3000</v>
      </c>
      <c r="R73"/>
      <c r="S73" s="512" t="s">
        <v>639</v>
      </c>
    </row>
    <row r="74" spans="1:34" x14ac:dyDescent="0.25">
      <c r="A74" s="509"/>
      <c r="B74" s="508"/>
      <c r="C74" s="508"/>
      <c r="D74" s="487"/>
      <c r="E74" s="485" t="s">
        <v>663</v>
      </c>
      <c r="F74" s="474" t="s">
        <v>664</v>
      </c>
      <c r="G74" s="475">
        <v>40000</v>
      </c>
      <c r="H74" s="475"/>
      <c r="I74" s="475">
        <f t="shared" si="14"/>
        <v>40000</v>
      </c>
      <c r="J74" s="476">
        <v>0.3</v>
      </c>
      <c r="K74" s="476">
        <v>0.4</v>
      </c>
      <c r="L74" s="476">
        <v>0.3</v>
      </c>
      <c r="M74" s="477">
        <f t="shared" si="9"/>
        <v>1</v>
      </c>
      <c r="N74" s="478">
        <f t="shared" si="11"/>
        <v>12000</v>
      </c>
      <c r="O74" s="478">
        <f t="shared" si="12"/>
        <v>16000</v>
      </c>
      <c r="P74" s="478">
        <f t="shared" si="13"/>
        <v>12000</v>
      </c>
      <c r="Q74" s="478">
        <f t="shared" si="10"/>
        <v>40000</v>
      </c>
      <c r="R74"/>
      <c r="S74" s="512" t="s">
        <v>665</v>
      </c>
    </row>
    <row r="75" spans="1:34" x14ac:dyDescent="0.25">
      <c r="A75" s="509"/>
      <c r="B75" s="508"/>
      <c r="C75" s="508"/>
      <c r="D75" s="487"/>
      <c r="E75" s="485" t="s">
        <v>666</v>
      </c>
      <c r="F75" s="474" t="s">
        <v>667</v>
      </c>
      <c r="G75" s="475">
        <v>15000</v>
      </c>
      <c r="H75" s="475">
        <v>-600</v>
      </c>
      <c r="I75" s="475">
        <f>+G75+H75</f>
        <v>14400</v>
      </c>
      <c r="J75" s="476">
        <v>1</v>
      </c>
      <c r="K75" s="476">
        <v>0</v>
      </c>
      <c r="L75" s="476">
        <v>0</v>
      </c>
      <c r="M75" s="477">
        <f t="shared" si="9"/>
        <v>1</v>
      </c>
      <c r="N75" s="478">
        <f t="shared" si="11"/>
        <v>15000</v>
      </c>
      <c r="O75" s="478">
        <f t="shared" si="12"/>
        <v>0</v>
      </c>
      <c r="P75" s="478" t="e">
        <f>+#REF!*L75</f>
        <v>#REF!</v>
      </c>
      <c r="Q75" s="478" t="e">
        <f t="shared" si="10"/>
        <v>#REF!</v>
      </c>
      <c r="R75"/>
      <c r="S75" s="512" t="s">
        <v>668</v>
      </c>
    </row>
    <row r="76" spans="1:34" x14ac:dyDescent="0.25">
      <c r="A76" s="509"/>
      <c r="B76" s="508"/>
      <c r="C76" s="508"/>
      <c r="D76" s="487"/>
      <c r="E76" s="485" t="s">
        <v>669</v>
      </c>
      <c r="F76" s="474" t="s">
        <v>670</v>
      </c>
      <c r="G76" s="475">
        <v>100000</v>
      </c>
      <c r="H76" s="475"/>
      <c r="I76" s="475">
        <f t="shared" ref="I76:I96" si="15">+G76+H76</f>
        <v>100000</v>
      </c>
      <c r="J76" s="476">
        <v>1</v>
      </c>
      <c r="K76" s="476">
        <v>0</v>
      </c>
      <c r="L76" s="476">
        <v>0</v>
      </c>
      <c r="M76" s="477">
        <f t="shared" si="9"/>
        <v>1</v>
      </c>
      <c r="N76" s="478">
        <f t="shared" si="11"/>
        <v>100000</v>
      </c>
      <c r="O76" s="478">
        <f t="shared" si="12"/>
        <v>0</v>
      </c>
      <c r="P76" s="478" t="e">
        <f>+#REF!*L76</f>
        <v>#REF!</v>
      </c>
      <c r="Q76" s="478" t="e">
        <f t="shared" si="10"/>
        <v>#REF!</v>
      </c>
      <c r="R76"/>
      <c r="S76" s="512" t="s">
        <v>671</v>
      </c>
    </row>
    <row r="77" spans="1:34" x14ac:dyDescent="0.25">
      <c r="A77" s="509"/>
      <c r="B77" s="508"/>
      <c r="C77" s="508"/>
      <c r="D77" s="487"/>
      <c r="E77" s="485" t="s">
        <v>672</v>
      </c>
      <c r="F77" s="474" t="s">
        <v>673</v>
      </c>
      <c r="G77" s="475">
        <v>22000</v>
      </c>
      <c r="H77" s="475">
        <v>-2660</v>
      </c>
      <c r="I77" s="475">
        <f t="shared" si="15"/>
        <v>19340</v>
      </c>
      <c r="J77" s="476">
        <v>1</v>
      </c>
      <c r="K77" s="476">
        <v>0</v>
      </c>
      <c r="L77" s="476">
        <v>0</v>
      </c>
      <c r="M77" s="477">
        <f t="shared" si="9"/>
        <v>1</v>
      </c>
      <c r="N77" s="478">
        <f t="shared" si="11"/>
        <v>22000</v>
      </c>
      <c r="O77" s="478">
        <f t="shared" si="12"/>
        <v>0</v>
      </c>
      <c r="P77" s="478" t="e">
        <f>+#REF!*L77</f>
        <v>#REF!</v>
      </c>
      <c r="Q77" s="478" t="e">
        <f t="shared" si="10"/>
        <v>#REF!</v>
      </c>
      <c r="R77"/>
      <c r="S77" s="512" t="s">
        <v>668</v>
      </c>
    </row>
    <row r="78" spans="1:34" x14ac:dyDescent="0.25">
      <c r="A78" s="509"/>
      <c r="B78" s="508"/>
      <c r="C78" s="508"/>
      <c r="D78" s="487"/>
      <c r="E78" s="485" t="s">
        <v>674</v>
      </c>
      <c r="F78" s="474" t="s">
        <v>675</v>
      </c>
      <c r="G78" s="475">
        <v>160000</v>
      </c>
      <c r="H78" s="475">
        <v>-3000</v>
      </c>
      <c r="I78" s="475">
        <f t="shared" si="15"/>
        <v>157000</v>
      </c>
      <c r="J78" s="476">
        <v>1</v>
      </c>
      <c r="K78" s="476">
        <v>0</v>
      </c>
      <c r="L78" s="476">
        <v>0</v>
      </c>
      <c r="M78" s="477">
        <f t="shared" si="9"/>
        <v>1</v>
      </c>
      <c r="N78" s="478">
        <f t="shared" si="11"/>
        <v>160000</v>
      </c>
      <c r="O78" s="478">
        <f t="shared" si="12"/>
        <v>0</v>
      </c>
      <c r="P78" s="478" t="e">
        <f>+#REF!*L78</f>
        <v>#REF!</v>
      </c>
      <c r="Q78" s="478" t="e">
        <f t="shared" si="10"/>
        <v>#REF!</v>
      </c>
      <c r="R78"/>
      <c r="S78" s="512" t="s">
        <v>671</v>
      </c>
    </row>
    <row r="79" spans="1:34" x14ac:dyDescent="0.25">
      <c r="A79" s="509"/>
      <c r="B79" s="508"/>
      <c r="C79" s="508"/>
      <c r="D79" s="487"/>
      <c r="E79" s="473">
        <v>360.73140599999999</v>
      </c>
      <c r="F79" s="474" t="s">
        <v>466</v>
      </c>
      <c r="G79" s="475">
        <v>9000</v>
      </c>
      <c r="H79" s="475"/>
      <c r="I79" s="475">
        <f t="shared" si="15"/>
        <v>9000</v>
      </c>
      <c r="J79" s="476">
        <v>1</v>
      </c>
      <c r="K79" s="476">
        <v>0</v>
      </c>
      <c r="L79" s="476">
        <v>0</v>
      </c>
      <c r="M79" s="477">
        <f t="shared" si="9"/>
        <v>1</v>
      </c>
      <c r="N79" s="478">
        <f>+G37*J79</f>
        <v>2000</v>
      </c>
      <c r="O79" s="478">
        <f>+G37*K79</f>
        <v>0</v>
      </c>
      <c r="P79" s="478">
        <f>+G37*L79</f>
        <v>0</v>
      </c>
      <c r="Q79" s="478">
        <f t="shared" si="10"/>
        <v>2000</v>
      </c>
      <c r="R79"/>
      <c r="S79" s="512" t="s">
        <v>676</v>
      </c>
    </row>
    <row r="80" spans="1:34" x14ac:dyDescent="0.25">
      <c r="A80" s="509"/>
      <c r="B80" s="508"/>
      <c r="C80" s="508"/>
      <c r="D80" s="487"/>
      <c r="E80" s="473">
        <v>360.77020099999999</v>
      </c>
      <c r="F80" s="474" t="s">
        <v>677</v>
      </c>
      <c r="G80" s="475">
        <v>56000</v>
      </c>
      <c r="H80" s="475">
        <v>600</v>
      </c>
      <c r="I80" s="475">
        <f t="shared" si="15"/>
        <v>56600</v>
      </c>
      <c r="J80" s="476">
        <v>0.5</v>
      </c>
      <c r="K80" s="476">
        <v>0</v>
      </c>
      <c r="L80" s="476">
        <v>0.5</v>
      </c>
      <c r="M80" s="477">
        <f t="shared" si="9"/>
        <v>1</v>
      </c>
      <c r="N80" s="478">
        <f>+G75*J80</f>
        <v>7500</v>
      </c>
      <c r="O80" s="478">
        <f>+G75*K80</f>
        <v>0</v>
      </c>
      <c r="P80" s="478">
        <f>+G75*L80</f>
        <v>7500</v>
      </c>
      <c r="Q80" s="478">
        <f t="shared" si="10"/>
        <v>15000</v>
      </c>
      <c r="R80"/>
      <c r="S80" s="513" t="s">
        <v>678</v>
      </c>
    </row>
    <row r="81" spans="1:21" ht="17.25" customHeight="1" x14ac:dyDescent="0.25">
      <c r="A81" s="509"/>
      <c r="B81" s="508"/>
      <c r="C81" s="508" t="s">
        <v>679</v>
      </c>
      <c r="D81" s="487"/>
      <c r="E81" s="485" t="s">
        <v>680</v>
      </c>
      <c r="F81" s="474" t="s">
        <v>681</v>
      </c>
      <c r="G81" s="475">
        <v>5000</v>
      </c>
      <c r="H81" s="475"/>
      <c r="I81" s="475">
        <f t="shared" si="15"/>
        <v>5000</v>
      </c>
      <c r="J81" s="476">
        <v>1</v>
      </c>
      <c r="K81" s="476">
        <v>0</v>
      </c>
      <c r="L81" s="476">
        <v>0</v>
      </c>
      <c r="M81" s="477">
        <f t="shared" si="9"/>
        <v>1</v>
      </c>
      <c r="N81" s="478">
        <f>+G79*J81</f>
        <v>9000</v>
      </c>
      <c r="O81" s="478">
        <f>+G79*K81</f>
        <v>0</v>
      </c>
      <c r="P81" s="478">
        <f>+G79*L81</f>
        <v>0</v>
      </c>
      <c r="Q81" s="478">
        <f t="shared" si="10"/>
        <v>9000</v>
      </c>
      <c r="R81"/>
      <c r="S81" s="514" t="s">
        <v>682</v>
      </c>
      <c r="U81" t="s">
        <v>683</v>
      </c>
    </row>
    <row r="82" spans="1:21" ht="17.25" customHeight="1" x14ac:dyDescent="0.25">
      <c r="A82" s="509"/>
      <c r="B82" s="508"/>
      <c r="C82" s="508"/>
      <c r="D82" s="487"/>
      <c r="E82" s="485" t="s">
        <v>684</v>
      </c>
      <c r="F82" s="474" t="s">
        <v>685</v>
      </c>
      <c r="G82" s="475">
        <v>12440.51</v>
      </c>
      <c r="H82" s="475">
        <v>660</v>
      </c>
      <c r="I82" s="475">
        <f t="shared" si="15"/>
        <v>13100.51</v>
      </c>
      <c r="J82" s="476"/>
      <c r="K82" s="476"/>
      <c r="L82" s="476"/>
      <c r="M82" s="477"/>
      <c r="N82" s="478"/>
      <c r="O82" s="478"/>
      <c r="P82" s="478"/>
      <c r="Q82" s="478"/>
      <c r="R82"/>
      <c r="S82" s="514"/>
    </row>
    <row r="83" spans="1:21" ht="27.75" customHeight="1" x14ac:dyDescent="0.25">
      <c r="A83" s="509"/>
      <c r="B83" s="508"/>
      <c r="C83" s="508"/>
      <c r="D83" s="487"/>
      <c r="E83" s="485" t="s">
        <v>686</v>
      </c>
      <c r="F83" s="515" t="s">
        <v>687</v>
      </c>
      <c r="G83" s="475">
        <v>7000</v>
      </c>
      <c r="H83" s="475"/>
      <c r="I83" s="475">
        <f t="shared" si="15"/>
        <v>7000</v>
      </c>
      <c r="J83" s="476">
        <v>0</v>
      </c>
      <c r="K83" s="476">
        <v>1</v>
      </c>
      <c r="L83" s="476">
        <v>0</v>
      </c>
      <c r="M83" s="477">
        <f t="shared" si="9"/>
        <v>1</v>
      </c>
      <c r="N83" s="478" t="e">
        <f>+#REF!*J83</f>
        <v>#REF!</v>
      </c>
      <c r="O83" s="478" t="e">
        <f>+#REF!*K83</f>
        <v>#REF!</v>
      </c>
      <c r="P83" s="478" t="e">
        <f>+#REF!*L83</f>
        <v>#REF!</v>
      </c>
      <c r="Q83" s="478" t="e">
        <f t="shared" si="10"/>
        <v>#REF!</v>
      </c>
      <c r="R83"/>
      <c r="S83" s="512" t="s">
        <v>688</v>
      </c>
    </row>
    <row r="84" spans="1:21" ht="17.25" customHeight="1" x14ac:dyDescent="0.25">
      <c r="A84" s="509"/>
      <c r="B84" s="508"/>
      <c r="C84" s="508"/>
      <c r="D84" s="487"/>
      <c r="E84" s="485" t="s">
        <v>689</v>
      </c>
      <c r="F84" s="474" t="s">
        <v>690</v>
      </c>
      <c r="G84" s="475">
        <v>5000</v>
      </c>
      <c r="H84" s="475">
        <v>3000</v>
      </c>
      <c r="I84" s="475">
        <f t="shared" si="15"/>
        <v>8000</v>
      </c>
      <c r="J84" s="476"/>
      <c r="K84" s="476"/>
      <c r="L84" s="476"/>
      <c r="M84" s="477"/>
      <c r="N84" s="478"/>
      <c r="O84" s="478"/>
      <c r="P84" s="478"/>
      <c r="Q84" s="478"/>
      <c r="R84"/>
      <c r="S84" s="512" t="s">
        <v>691</v>
      </c>
    </row>
    <row r="85" spans="1:21" ht="25.5" customHeight="1" x14ac:dyDescent="0.25">
      <c r="A85" s="509"/>
      <c r="B85" s="508"/>
      <c r="C85" s="508"/>
      <c r="D85" s="487"/>
      <c r="E85" s="485" t="s">
        <v>692</v>
      </c>
      <c r="F85" s="515" t="s">
        <v>693</v>
      </c>
      <c r="G85" s="475">
        <v>100000</v>
      </c>
      <c r="H85" s="475">
        <v>-24625</v>
      </c>
      <c r="I85" s="475">
        <f t="shared" si="15"/>
        <v>75375</v>
      </c>
      <c r="J85" s="476">
        <v>1</v>
      </c>
      <c r="K85" s="476">
        <v>0</v>
      </c>
      <c r="L85" s="476">
        <v>0</v>
      </c>
      <c r="M85" s="477">
        <f>SUM(J85:L85)</f>
        <v>1</v>
      </c>
      <c r="N85" s="478">
        <f>+G38*J85</f>
        <v>1000</v>
      </c>
      <c r="O85" s="478">
        <f>+G38*K85</f>
        <v>0</v>
      </c>
      <c r="P85" s="478">
        <f>+G38*L85</f>
        <v>0</v>
      </c>
      <c r="Q85" s="478">
        <f>SUM(N85:P85)</f>
        <v>1000</v>
      </c>
      <c r="R85"/>
      <c r="S85" s="512" t="s">
        <v>694</v>
      </c>
    </row>
    <row r="86" spans="1:21" ht="17.25" customHeight="1" x14ac:dyDescent="0.25">
      <c r="A86" s="509"/>
      <c r="B86" s="508"/>
      <c r="C86" s="508"/>
      <c r="D86" s="487"/>
      <c r="E86" s="473">
        <v>360.731404</v>
      </c>
      <c r="F86" s="474" t="s">
        <v>695</v>
      </c>
      <c r="G86" s="475">
        <v>500</v>
      </c>
      <c r="H86" s="475"/>
      <c r="I86" s="475">
        <f t="shared" si="15"/>
        <v>500</v>
      </c>
      <c r="J86" s="476">
        <v>1</v>
      </c>
      <c r="K86" s="476">
        <v>0</v>
      </c>
      <c r="L86" s="476">
        <v>0</v>
      </c>
      <c r="M86" s="477">
        <f>SUM(J86:L86)</f>
        <v>1</v>
      </c>
      <c r="N86" s="478">
        <f>+G108*J86</f>
        <v>10000</v>
      </c>
      <c r="O86" s="478">
        <f>+G108*K86</f>
        <v>0</v>
      </c>
      <c r="P86" s="478">
        <f>+G108*L86</f>
        <v>0</v>
      </c>
      <c r="Q86" s="478">
        <f>SUM(N86:P86)</f>
        <v>10000</v>
      </c>
      <c r="R86"/>
      <c r="S86" s="512" t="s">
        <v>696</v>
      </c>
    </row>
    <row r="87" spans="1:21" ht="17.25" customHeight="1" x14ac:dyDescent="0.25">
      <c r="A87" s="509"/>
      <c r="B87" s="508"/>
      <c r="C87" s="508"/>
      <c r="D87" s="487"/>
      <c r="E87" s="473">
        <v>360.73140699999999</v>
      </c>
      <c r="F87" s="474" t="s">
        <v>697</v>
      </c>
      <c r="G87" s="475">
        <v>150</v>
      </c>
      <c r="H87" s="475"/>
      <c r="I87" s="475">
        <f t="shared" si="15"/>
        <v>150</v>
      </c>
      <c r="J87" s="476">
        <v>0.3</v>
      </c>
      <c r="K87" s="476">
        <v>0.4</v>
      </c>
      <c r="L87" s="476">
        <v>0.3</v>
      </c>
      <c r="M87" s="477">
        <f>SUM(J87:L87)</f>
        <v>1</v>
      </c>
      <c r="N87" s="478" t="e">
        <f>+#REF!*J87</f>
        <v>#REF!</v>
      </c>
      <c r="O87" s="478" t="e">
        <f>+#REF!*K87</f>
        <v>#REF!</v>
      </c>
      <c r="P87" s="478" t="e">
        <f>+#REF!*L87</f>
        <v>#REF!</v>
      </c>
      <c r="Q87" s="478" t="e">
        <f>SUM(N87:P87)</f>
        <v>#REF!</v>
      </c>
      <c r="R87"/>
      <c r="S87" s="512" t="s">
        <v>698</v>
      </c>
    </row>
    <row r="88" spans="1:21" ht="17.25" customHeight="1" x14ac:dyDescent="0.25">
      <c r="A88" s="509"/>
      <c r="B88" s="508"/>
      <c r="C88" s="508"/>
      <c r="D88" s="487"/>
      <c r="E88" s="473">
        <v>360.840104</v>
      </c>
      <c r="F88" s="474" t="s">
        <v>699</v>
      </c>
      <c r="G88" s="475">
        <v>9200</v>
      </c>
      <c r="H88" s="475"/>
      <c r="I88" s="475">
        <f t="shared" si="15"/>
        <v>9200</v>
      </c>
      <c r="J88" s="476"/>
      <c r="K88" s="476"/>
      <c r="L88" s="476"/>
      <c r="M88" s="477"/>
      <c r="N88" s="478"/>
      <c r="O88" s="478"/>
      <c r="P88" s="478"/>
      <c r="Q88" s="478"/>
      <c r="R88"/>
      <c r="S88" s="516"/>
    </row>
    <row r="89" spans="1:21" ht="17.25" customHeight="1" x14ac:dyDescent="0.25">
      <c r="A89" s="509"/>
      <c r="B89" s="508"/>
      <c r="C89" s="508"/>
      <c r="D89" s="487"/>
      <c r="E89" s="473" t="s">
        <v>700</v>
      </c>
      <c r="F89" s="474" t="s">
        <v>701</v>
      </c>
      <c r="G89" s="475">
        <v>0</v>
      </c>
      <c r="H89" s="517">
        <v>330000</v>
      </c>
      <c r="I89" s="475">
        <f t="shared" si="15"/>
        <v>330000</v>
      </c>
      <c r="J89" s="476"/>
      <c r="K89" s="476"/>
      <c r="L89" s="476"/>
      <c r="M89" s="477"/>
      <c r="N89" s="478"/>
      <c r="O89" s="478"/>
      <c r="P89" s="478"/>
      <c r="Q89" s="478"/>
      <c r="R89"/>
      <c r="S89" s="516"/>
    </row>
    <row r="90" spans="1:21" ht="17.25" customHeight="1" x14ac:dyDescent="0.25">
      <c r="A90" s="509"/>
      <c r="B90" s="508"/>
      <c r="C90" s="508"/>
      <c r="D90" s="487"/>
      <c r="E90" s="473" t="s">
        <v>702</v>
      </c>
      <c r="F90" s="474" t="s">
        <v>703</v>
      </c>
      <c r="G90" s="475">
        <v>0</v>
      </c>
      <c r="H90" s="517">
        <v>308034</v>
      </c>
      <c r="I90" s="475">
        <f t="shared" si="15"/>
        <v>308034</v>
      </c>
      <c r="J90" s="476">
        <v>0.5</v>
      </c>
      <c r="K90" s="476">
        <v>0</v>
      </c>
      <c r="L90" s="476">
        <v>0.5</v>
      </c>
      <c r="M90" s="477">
        <f>SUM(J90:L90)</f>
        <v>1</v>
      </c>
      <c r="N90" s="478">
        <f>+G76*J90</f>
        <v>50000</v>
      </c>
      <c r="O90" s="478">
        <f>+G76*K90</f>
        <v>0</v>
      </c>
      <c r="P90" s="478">
        <f>+G76*L90</f>
        <v>50000</v>
      </c>
      <c r="Q90" s="478">
        <f>SUM(N90:P90)</f>
        <v>100000</v>
      </c>
      <c r="R90"/>
      <c r="U90" s="512" t="s">
        <v>704</v>
      </c>
    </row>
    <row r="91" spans="1:21" ht="25.5" customHeight="1" x14ac:dyDescent="0.25">
      <c r="A91" s="509"/>
      <c r="B91" s="508"/>
      <c r="C91" s="508" t="s">
        <v>705</v>
      </c>
      <c r="D91" s="487"/>
      <c r="E91" s="485" t="s">
        <v>706</v>
      </c>
      <c r="F91" s="515" t="s">
        <v>707</v>
      </c>
      <c r="G91" s="475">
        <v>40000</v>
      </c>
      <c r="H91" s="475"/>
      <c r="I91" s="475">
        <f t="shared" si="15"/>
        <v>40000</v>
      </c>
      <c r="J91" s="476"/>
      <c r="K91" s="476"/>
      <c r="L91" s="476"/>
      <c r="M91" s="477"/>
      <c r="N91" s="478"/>
      <c r="O91" s="478"/>
      <c r="P91" s="478"/>
      <c r="Q91" s="478"/>
      <c r="R91"/>
      <c r="S91" s="518" t="s">
        <v>708</v>
      </c>
    </row>
    <row r="92" spans="1:21" ht="25.5" customHeight="1" x14ac:dyDescent="0.25">
      <c r="A92" s="509"/>
      <c r="B92" s="508"/>
      <c r="C92" s="508"/>
      <c r="D92" s="487"/>
      <c r="E92" s="485">
        <v>750501</v>
      </c>
      <c r="F92" s="515" t="s">
        <v>709</v>
      </c>
      <c r="G92" s="475">
        <v>15459.43</v>
      </c>
      <c r="H92" s="475"/>
      <c r="I92" s="475">
        <f t="shared" si="15"/>
        <v>15459.43</v>
      </c>
      <c r="J92" s="476"/>
      <c r="K92" s="476"/>
      <c r="L92" s="476"/>
      <c r="M92" s="477"/>
      <c r="N92" s="478"/>
      <c r="O92" s="478"/>
      <c r="P92" s="478"/>
      <c r="Q92" s="478"/>
      <c r="R92"/>
      <c r="S92" s="516"/>
    </row>
    <row r="93" spans="1:21" ht="19.5" customHeight="1" thickBot="1" x14ac:dyDescent="0.3">
      <c r="A93" s="509"/>
      <c r="B93" s="519" t="s">
        <v>710</v>
      </c>
      <c r="C93" s="519"/>
      <c r="D93" s="519"/>
      <c r="E93" s="519"/>
      <c r="F93" s="519"/>
      <c r="G93" s="520">
        <f>SUM(G56:G92)</f>
        <v>1208085.4069999999</v>
      </c>
      <c r="H93" s="520"/>
      <c r="I93" s="520"/>
      <c r="J93" s="489"/>
      <c r="K93" s="485"/>
      <c r="L93" s="474"/>
      <c r="M93" s="497"/>
      <c r="N93" s="476"/>
      <c r="O93" s="476"/>
      <c r="P93" s="476"/>
      <c r="Q93" s="477"/>
      <c r="R93" s="521"/>
      <c r="S93" s="522"/>
      <c r="T93" s="522"/>
      <c r="U93" s="522"/>
    </row>
    <row r="94" spans="1:21" ht="16.5" customHeight="1" x14ac:dyDescent="0.25">
      <c r="A94" s="509"/>
      <c r="B94" s="508" t="s">
        <v>711</v>
      </c>
      <c r="C94" s="508" t="s">
        <v>705</v>
      </c>
      <c r="D94" s="487"/>
      <c r="E94" s="485" t="s">
        <v>712</v>
      </c>
      <c r="F94" s="474" t="s">
        <v>713</v>
      </c>
      <c r="G94" s="475">
        <f>+'[3]Anexo de obras'!F4</f>
        <v>80000</v>
      </c>
      <c r="H94" s="475">
        <v>10000</v>
      </c>
      <c r="I94" s="475">
        <f t="shared" si="15"/>
        <v>90000</v>
      </c>
      <c r="J94" s="476"/>
      <c r="K94" s="476"/>
      <c r="L94" s="476"/>
      <c r="M94" s="477"/>
      <c r="N94" s="478"/>
      <c r="O94" s="478"/>
      <c r="P94" s="478"/>
      <c r="Q94" s="478"/>
      <c r="R94"/>
      <c r="S94" s="523" t="s">
        <v>714</v>
      </c>
    </row>
    <row r="95" spans="1:21" ht="16.5" customHeight="1" x14ac:dyDescent="0.25">
      <c r="A95" s="509"/>
      <c r="B95" s="508"/>
      <c r="C95" s="508"/>
      <c r="D95" s="487"/>
      <c r="E95" s="504">
        <v>750105.60600000003</v>
      </c>
      <c r="F95" s="474" t="s">
        <v>715</v>
      </c>
      <c r="G95" s="475">
        <v>240844.28</v>
      </c>
      <c r="H95" s="475"/>
      <c r="I95" s="475">
        <f t="shared" si="15"/>
        <v>240844.28</v>
      </c>
      <c r="J95" s="476"/>
      <c r="K95" s="476"/>
      <c r="L95" s="476"/>
      <c r="M95" s="477"/>
      <c r="N95" s="478"/>
      <c r="O95" s="478"/>
      <c r="P95" s="478"/>
      <c r="Q95" s="478"/>
      <c r="R95"/>
      <c r="S95" s="524"/>
    </row>
    <row r="96" spans="1:21" ht="16.5" customHeight="1" thickBot="1" x14ac:dyDescent="0.3">
      <c r="A96" s="509"/>
      <c r="B96" s="508"/>
      <c r="C96" s="508"/>
      <c r="D96" s="487"/>
      <c r="E96" s="485" t="s">
        <v>716</v>
      </c>
      <c r="F96" s="474" t="s">
        <v>717</v>
      </c>
      <c r="G96" s="475">
        <f>+'[3]Anexo de obras'!F8</f>
        <v>19521.900000000001</v>
      </c>
      <c r="H96" s="475">
        <v>6775</v>
      </c>
      <c r="I96" s="475">
        <f t="shared" si="15"/>
        <v>26296.9</v>
      </c>
      <c r="J96" s="476"/>
      <c r="K96" s="476"/>
      <c r="L96" s="476"/>
      <c r="M96" s="477"/>
      <c r="N96" s="478"/>
      <c r="O96" s="478"/>
      <c r="P96" s="478"/>
      <c r="Q96" s="478"/>
      <c r="R96"/>
      <c r="S96" s="525" t="s">
        <v>718</v>
      </c>
    </row>
    <row r="97" spans="1:36" ht="18.75" customHeight="1" x14ac:dyDescent="0.25">
      <c r="A97" s="526"/>
      <c r="B97" s="519" t="s">
        <v>719</v>
      </c>
      <c r="C97" s="519"/>
      <c r="D97" s="519"/>
      <c r="E97" s="519"/>
      <c r="F97" s="519"/>
      <c r="G97" s="520">
        <f>SUM(G94:G96)</f>
        <v>340366.18000000005</v>
      </c>
      <c r="H97" s="520"/>
      <c r="I97" s="520"/>
      <c r="J97" s="489"/>
      <c r="K97" s="527"/>
      <c r="L97" s="474"/>
      <c r="M97" s="497"/>
      <c r="N97" s="476"/>
      <c r="O97" s="476"/>
      <c r="P97" s="476"/>
      <c r="Q97" s="477"/>
      <c r="R97" s="521"/>
      <c r="S97" s="522"/>
      <c r="T97" s="522"/>
      <c r="U97" s="522"/>
    </row>
    <row r="98" spans="1:36" ht="14.25" customHeight="1" x14ac:dyDescent="0.25">
      <c r="A98" s="528"/>
      <c r="B98" s="529"/>
      <c r="M98" s="465"/>
      <c r="N98" s="530"/>
      <c r="O98" s="531"/>
      <c r="P98" s="531"/>
      <c r="Q98" s="532"/>
      <c r="R98" s="533"/>
      <c r="S98" s="533"/>
      <c r="T98" s="533"/>
      <c r="U98" s="533"/>
    </row>
    <row r="99" spans="1:36" ht="14.25" customHeight="1" x14ac:dyDescent="0.25">
      <c r="A99" s="534" t="s">
        <v>720</v>
      </c>
      <c r="B99" s="535" t="s">
        <v>721</v>
      </c>
      <c r="C99" s="536" t="s">
        <v>550</v>
      </c>
      <c r="D99" s="537"/>
      <c r="E99" s="538" t="s">
        <v>722</v>
      </c>
      <c r="F99" s="539" t="s">
        <v>647</v>
      </c>
      <c r="G99" s="540">
        <f>[3]Nomina!$F$108</f>
        <v>26064</v>
      </c>
      <c r="H99" s="541"/>
      <c r="I99" s="541">
        <f t="shared" ref="I99:I132" si="16">+G99+H99</f>
        <v>26064</v>
      </c>
      <c r="J99" s="542"/>
      <c r="K99" s="543"/>
      <c r="L99" s="543"/>
      <c r="M99" s="544"/>
      <c r="N99" s="545"/>
      <c r="O99" s="545"/>
      <c r="P99" s="545"/>
      <c r="Q99" s="545"/>
      <c r="R99"/>
    </row>
    <row r="100" spans="1:36" ht="14.25" customHeight="1" x14ac:dyDescent="0.25">
      <c r="A100" s="534"/>
      <c r="B100" s="535"/>
      <c r="C100" s="536"/>
      <c r="D100" s="537"/>
      <c r="E100" s="538" t="s">
        <v>723</v>
      </c>
      <c r="F100" s="539" t="s">
        <v>570</v>
      </c>
      <c r="G100" s="540">
        <f>[3]Nomina!$F$122</f>
        <v>47811.839999999997</v>
      </c>
      <c r="H100" s="541"/>
      <c r="I100" s="541">
        <f t="shared" si="16"/>
        <v>47811.839999999997</v>
      </c>
      <c r="J100" s="542"/>
      <c r="K100" s="543"/>
      <c r="L100" s="543"/>
      <c r="M100" s="544"/>
      <c r="N100" s="545"/>
      <c r="O100" s="545"/>
      <c r="P100" s="545"/>
      <c r="Q100" s="545"/>
      <c r="R100"/>
    </row>
    <row r="101" spans="1:36" ht="14.25" customHeight="1" x14ac:dyDescent="0.25">
      <c r="A101" s="534"/>
      <c r="B101" s="535"/>
      <c r="C101" s="536"/>
      <c r="D101" s="537"/>
      <c r="E101" s="538" t="s">
        <v>724</v>
      </c>
      <c r="F101" s="539" t="s">
        <v>572</v>
      </c>
      <c r="G101" s="540">
        <f>[3]Nomina!$I$124</f>
        <v>6156.32</v>
      </c>
      <c r="H101" s="541"/>
      <c r="I101" s="541">
        <f t="shared" si="16"/>
        <v>6156.32</v>
      </c>
      <c r="J101" s="542"/>
      <c r="K101" s="543"/>
      <c r="L101" s="543"/>
      <c r="M101" s="544"/>
      <c r="N101" s="545"/>
      <c r="O101" s="545"/>
      <c r="P101" s="545"/>
      <c r="Q101" s="545"/>
      <c r="R101"/>
      <c r="AH101" s="510"/>
    </row>
    <row r="102" spans="1:36" ht="14.25" customHeight="1" x14ac:dyDescent="0.25">
      <c r="A102" s="534"/>
      <c r="B102" s="535"/>
      <c r="C102" s="536"/>
      <c r="D102" s="537"/>
      <c r="E102" s="538" t="s">
        <v>725</v>
      </c>
      <c r="F102" s="539" t="s">
        <v>163</v>
      </c>
      <c r="G102" s="540">
        <f>[3]Nomina!$J$124</f>
        <v>4675</v>
      </c>
      <c r="H102" s="541"/>
      <c r="I102" s="541">
        <f t="shared" si="16"/>
        <v>4675</v>
      </c>
      <c r="J102" s="542"/>
      <c r="K102" s="543"/>
      <c r="L102" s="543"/>
      <c r="M102" s="544"/>
      <c r="N102" s="545"/>
      <c r="O102" s="545"/>
      <c r="P102" s="545"/>
      <c r="Q102" s="545"/>
      <c r="R102"/>
      <c r="AH102" s="511"/>
    </row>
    <row r="103" spans="1:36" ht="14.25" customHeight="1" x14ac:dyDescent="0.25">
      <c r="A103" s="534"/>
      <c r="B103" s="535"/>
      <c r="C103" s="536"/>
      <c r="D103" s="537"/>
      <c r="E103" s="538" t="s">
        <v>726</v>
      </c>
      <c r="F103" s="539" t="s">
        <v>575</v>
      </c>
      <c r="G103" s="540">
        <f>[3]Nomina!$G$124</f>
        <v>9012.9359999999997</v>
      </c>
      <c r="H103" s="541"/>
      <c r="I103" s="541">
        <f t="shared" si="16"/>
        <v>9012.9359999999997</v>
      </c>
      <c r="J103" s="542"/>
      <c r="K103" s="543"/>
      <c r="L103" s="543"/>
      <c r="M103" s="544"/>
      <c r="N103" s="545"/>
      <c r="O103" s="545"/>
      <c r="P103" s="545"/>
      <c r="Q103" s="545"/>
      <c r="R103"/>
      <c r="AH103" s="481"/>
    </row>
    <row r="104" spans="1:36" ht="14.25" customHeight="1" x14ac:dyDescent="0.25">
      <c r="A104" s="534"/>
      <c r="B104" s="535"/>
      <c r="C104" s="536"/>
      <c r="D104" s="537"/>
      <c r="E104" s="538" t="s">
        <v>727</v>
      </c>
      <c r="F104" s="539" t="s">
        <v>128</v>
      </c>
      <c r="G104" s="540">
        <f>[3]Nomina!$H$124</f>
        <v>6156.32</v>
      </c>
      <c r="H104" s="541"/>
      <c r="I104" s="541">
        <f t="shared" si="16"/>
        <v>6156.32</v>
      </c>
      <c r="J104" s="542"/>
      <c r="K104" s="543"/>
      <c r="L104" s="543"/>
      <c r="M104" s="544"/>
      <c r="N104" s="545"/>
      <c r="O104" s="545"/>
      <c r="P104" s="545"/>
      <c r="Q104" s="545"/>
      <c r="R104"/>
      <c r="AH104" s="482"/>
    </row>
    <row r="105" spans="1:36" ht="24" customHeight="1" x14ac:dyDescent="0.25">
      <c r="A105" s="534"/>
      <c r="B105" s="535"/>
      <c r="C105" s="536" t="s">
        <v>679</v>
      </c>
      <c r="D105" s="546" t="s">
        <v>728</v>
      </c>
      <c r="E105" s="547" t="s">
        <v>729</v>
      </c>
      <c r="F105" s="548" t="s">
        <v>730</v>
      </c>
      <c r="G105" s="549">
        <v>7000</v>
      </c>
      <c r="H105" s="549"/>
      <c r="I105" s="541">
        <f t="shared" si="16"/>
        <v>7000</v>
      </c>
      <c r="J105" s="543"/>
      <c r="K105" s="543"/>
      <c r="L105" s="543"/>
      <c r="M105" s="544"/>
      <c r="N105" s="545"/>
      <c r="O105" s="545"/>
      <c r="P105" s="545"/>
      <c r="Q105" s="545"/>
      <c r="R105"/>
    </row>
    <row r="106" spans="1:36" ht="15" customHeight="1" x14ac:dyDescent="0.25">
      <c r="A106" s="534"/>
      <c r="B106" s="535"/>
      <c r="C106" s="536"/>
      <c r="D106" s="550"/>
      <c r="E106" s="547" t="s">
        <v>731</v>
      </c>
      <c r="F106" s="548" t="s">
        <v>387</v>
      </c>
      <c r="G106" s="549">
        <v>7000</v>
      </c>
      <c r="H106" s="549"/>
      <c r="I106" s="541">
        <f t="shared" si="16"/>
        <v>7000</v>
      </c>
      <c r="J106" s="543"/>
      <c r="K106" s="543"/>
      <c r="L106" s="543"/>
      <c r="M106" s="544"/>
      <c r="N106" s="545"/>
      <c r="O106" s="545"/>
      <c r="P106" s="545"/>
      <c r="Q106" s="545"/>
      <c r="R106"/>
    </row>
    <row r="107" spans="1:36" ht="15" customHeight="1" x14ac:dyDescent="0.25">
      <c r="A107" s="534"/>
      <c r="B107" s="535"/>
      <c r="C107" s="536"/>
      <c r="D107" s="550"/>
      <c r="E107" s="547" t="s">
        <v>732</v>
      </c>
      <c r="F107" s="548" t="s">
        <v>733</v>
      </c>
      <c r="G107" s="549">
        <v>31681.11</v>
      </c>
      <c r="H107" s="549"/>
      <c r="I107" s="541">
        <f t="shared" si="16"/>
        <v>31681.11</v>
      </c>
      <c r="J107" s="543"/>
      <c r="K107" s="543"/>
      <c r="L107" s="543"/>
      <c r="M107" s="544"/>
      <c r="N107" s="545"/>
      <c r="O107" s="545"/>
      <c r="P107" s="545"/>
      <c r="Q107" s="545"/>
      <c r="R107"/>
    </row>
    <row r="108" spans="1:36" ht="39.75" customHeight="1" x14ac:dyDescent="0.25">
      <c r="A108" s="534"/>
      <c r="B108" s="535"/>
      <c r="C108" s="536"/>
      <c r="D108" s="551" t="s">
        <v>734</v>
      </c>
      <c r="E108" s="538" t="s">
        <v>735</v>
      </c>
      <c r="F108" s="552" t="s">
        <v>736</v>
      </c>
      <c r="G108" s="553">
        <v>10000</v>
      </c>
      <c r="H108" s="553"/>
      <c r="I108" s="541">
        <f t="shared" si="16"/>
        <v>10000</v>
      </c>
      <c r="J108" s="543"/>
      <c r="K108" s="543"/>
      <c r="L108" s="543"/>
      <c r="M108" s="544"/>
      <c r="N108" s="545"/>
      <c r="O108" s="545"/>
      <c r="P108" s="545"/>
      <c r="Q108" s="545"/>
      <c r="R108"/>
    </row>
    <row r="109" spans="1:36" ht="17.25" customHeight="1" x14ac:dyDescent="0.25">
      <c r="A109" s="534"/>
      <c r="B109" s="535"/>
      <c r="C109" s="536" t="s">
        <v>705</v>
      </c>
      <c r="D109" s="551"/>
      <c r="E109" s="547" t="s">
        <v>737</v>
      </c>
      <c r="F109" s="554" t="s">
        <v>738</v>
      </c>
      <c r="G109" s="549">
        <v>2000</v>
      </c>
      <c r="H109" s="549"/>
      <c r="I109" s="541">
        <f t="shared" si="16"/>
        <v>2000</v>
      </c>
      <c r="J109" s="543"/>
      <c r="K109" s="543"/>
      <c r="L109" s="543"/>
      <c r="M109" s="544"/>
      <c r="N109" s="545"/>
      <c r="O109" s="545"/>
      <c r="P109" s="545"/>
      <c r="Q109" s="545"/>
      <c r="R109"/>
    </row>
    <row r="110" spans="1:36" ht="25.5" customHeight="1" x14ac:dyDescent="0.25">
      <c r="A110" s="534"/>
      <c r="B110" s="535"/>
      <c r="C110" s="536"/>
      <c r="D110" s="551" t="s">
        <v>739</v>
      </c>
      <c r="E110" s="538" t="s">
        <v>740</v>
      </c>
      <c r="F110" s="552" t="s">
        <v>741</v>
      </c>
      <c r="G110" s="553">
        <v>66000</v>
      </c>
      <c r="H110" s="553">
        <v>6800</v>
      </c>
      <c r="I110" s="541">
        <f t="shared" si="16"/>
        <v>72800</v>
      </c>
      <c r="J110" s="543"/>
      <c r="K110" s="543"/>
      <c r="L110" s="543"/>
      <c r="M110" s="544"/>
      <c r="N110" s="545"/>
      <c r="O110" s="545"/>
      <c r="P110" s="545"/>
      <c r="Q110" s="545"/>
      <c r="R110"/>
      <c r="AI110" s="555">
        <f>SUM(G99:G110)</f>
        <v>223557.52600000001</v>
      </c>
    </row>
    <row r="111" spans="1:36" x14ac:dyDescent="0.25">
      <c r="A111" s="534"/>
      <c r="B111" s="535"/>
      <c r="C111" s="556" t="s">
        <v>742</v>
      </c>
      <c r="D111" s="537"/>
      <c r="E111" s="538" t="s">
        <v>743</v>
      </c>
      <c r="F111" s="539" t="s">
        <v>570</v>
      </c>
      <c r="G111" s="540">
        <v>6008.76</v>
      </c>
      <c r="H111" s="540"/>
      <c r="I111" s="541">
        <f t="shared" si="16"/>
        <v>6008.76</v>
      </c>
      <c r="J111" s="543"/>
      <c r="K111" s="543"/>
      <c r="L111" s="543"/>
      <c r="M111" s="544"/>
      <c r="N111" s="545"/>
      <c r="O111" s="545"/>
      <c r="P111" s="545"/>
      <c r="Q111" s="545"/>
      <c r="R111" s="482"/>
      <c r="S111" s="482"/>
      <c r="T111" s="482"/>
      <c r="U111" s="482"/>
      <c r="V111" s="482"/>
      <c r="W111" s="482"/>
      <c r="X111" s="482"/>
      <c r="Y111" s="482"/>
      <c r="Z111" s="482"/>
      <c r="AA111" s="482"/>
      <c r="AB111" s="482"/>
      <c r="AC111" s="482"/>
      <c r="AD111" s="482"/>
      <c r="AE111" s="482"/>
      <c r="AF111" s="482"/>
      <c r="AG111" s="482"/>
      <c r="AH111" s="482"/>
      <c r="AI111" s="557">
        <f>SUM(G111:G120)</f>
        <v>9445.0299999999988</v>
      </c>
      <c r="AJ111" s="482"/>
    </row>
    <row r="112" spans="1:36" x14ac:dyDescent="0.25">
      <c r="A112" s="534"/>
      <c r="B112" s="535"/>
      <c r="C112" s="556"/>
      <c r="D112" s="537"/>
      <c r="E112" s="538" t="s">
        <v>744</v>
      </c>
      <c r="F112" s="539" t="s">
        <v>162</v>
      </c>
      <c r="G112" s="540">
        <v>500.73</v>
      </c>
      <c r="H112" s="540"/>
      <c r="I112" s="541">
        <f t="shared" si="16"/>
        <v>500.73</v>
      </c>
      <c r="J112" s="543"/>
      <c r="K112" s="543"/>
      <c r="L112" s="543"/>
      <c r="M112" s="544"/>
      <c r="N112" s="545"/>
      <c r="O112" s="545"/>
      <c r="P112" s="545"/>
      <c r="Q112" s="545"/>
      <c r="R112" s="482"/>
      <c r="S112" s="482"/>
      <c r="T112" s="482"/>
      <c r="U112" s="482"/>
      <c r="V112" s="482"/>
      <c r="W112" s="482"/>
      <c r="X112" s="482"/>
      <c r="Y112" s="482"/>
      <c r="Z112" s="482"/>
      <c r="AA112" s="482"/>
      <c r="AB112" s="482"/>
      <c r="AC112" s="482"/>
      <c r="AD112" s="482"/>
      <c r="AE112" s="482"/>
      <c r="AF112" s="482"/>
      <c r="AG112" s="482"/>
      <c r="AH112" s="482"/>
      <c r="AI112" s="558"/>
      <c r="AJ112" s="482"/>
    </row>
    <row r="113" spans="1:36" x14ac:dyDescent="0.25">
      <c r="A113" s="534"/>
      <c r="B113" s="535"/>
      <c r="C113" s="556"/>
      <c r="D113" s="537"/>
      <c r="E113" s="538" t="s">
        <v>745</v>
      </c>
      <c r="F113" s="539" t="s">
        <v>574</v>
      </c>
      <c r="G113" s="540">
        <v>425</v>
      </c>
      <c r="H113" s="540"/>
      <c r="I113" s="541">
        <f t="shared" si="16"/>
        <v>425</v>
      </c>
      <c r="J113" s="543"/>
      <c r="K113" s="543"/>
      <c r="L113" s="543"/>
      <c r="M113" s="544"/>
      <c r="N113" s="545"/>
      <c r="O113" s="545"/>
      <c r="P113" s="545"/>
      <c r="Q113" s="545"/>
      <c r="R113" s="482"/>
      <c r="S113" s="482"/>
      <c r="T113" s="482"/>
      <c r="U113" s="482"/>
      <c r="V113" s="482"/>
      <c r="W113" s="482"/>
      <c r="X113" s="482"/>
      <c r="Y113" s="482"/>
      <c r="Z113" s="482"/>
      <c r="AA113" s="482"/>
      <c r="AB113" s="482"/>
      <c r="AC113" s="482"/>
      <c r="AD113" s="482"/>
      <c r="AE113" s="482"/>
      <c r="AF113" s="482"/>
      <c r="AG113" s="482"/>
      <c r="AH113" s="482"/>
      <c r="AI113" s="558"/>
      <c r="AJ113" s="482"/>
    </row>
    <row r="114" spans="1:36" x14ac:dyDescent="0.25">
      <c r="A114" s="534"/>
      <c r="B114" s="535"/>
      <c r="C114" s="556"/>
      <c r="D114" s="537"/>
      <c r="E114" s="538" t="s">
        <v>746</v>
      </c>
      <c r="F114" s="559" t="s">
        <v>575</v>
      </c>
      <c r="G114" s="540">
        <v>751.1</v>
      </c>
      <c r="H114" s="540"/>
      <c r="I114" s="541">
        <f t="shared" si="16"/>
        <v>751.1</v>
      </c>
      <c r="J114" s="543"/>
      <c r="K114" s="543"/>
      <c r="L114" s="543"/>
      <c r="M114" s="544"/>
      <c r="N114" s="545"/>
      <c r="O114" s="545"/>
      <c r="P114" s="545"/>
      <c r="Q114" s="545"/>
      <c r="R114" s="482"/>
      <c r="S114" s="482"/>
      <c r="T114" s="482"/>
      <c r="U114" s="482"/>
      <c r="V114" s="482"/>
      <c r="W114" s="482"/>
      <c r="X114" s="482"/>
      <c r="Y114" s="482"/>
      <c r="Z114" s="482"/>
      <c r="AA114" s="482"/>
      <c r="AB114" s="482"/>
      <c r="AC114" s="482"/>
      <c r="AD114" s="482"/>
      <c r="AE114" s="482"/>
      <c r="AF114" s="482"/>
      <c r="AG114" s="482"/>
      <c r="AH114" s="482"/>
      <c r="AI114" s="558"/>
      <c r="AJ114" s="482"/>
    </row>
    <row r="115" spans="1:36" x14ac:dyDescent="0.25">
      <c r="A115" s="534"/>
      <c r="B115" s="535"/>
      <c r="C115" s="556"/>
      <c r="D115" s="537"/>
      <c r="E115" s="538" t="s">
        <v>747</v>
      </c>
      <c r="F115" s="559" t="s">
        <v>577</v>
      </c>
      <c r="G115" s="540">
        <v>500.73</v>
      </c>
      <c r="H115" s="540"/>
      <c r="I115" s="541">
        <f t="shared" si="16"/>
        <v>500.73</v>
      </c>
      <c r="J115" s="543"/>
      <c r="K115" s="543"/>
      <c r="L115" s="543"/>
      <c r="M115" s="544"/>
      <c r="N115" s="545"/>
      <c r="O115" s="545"/>
      <c r="P115" s="545"/>
      <c r="Q115" s="545"/>
      <c r="R115" s="482"/>
      <c r="S115" s="482"/>
      <c r="T115" s="482"/>
      <c r="U115" s="482"/>
      <c r="V115" s="482"/>
      <c r="W115" s="482"/>
      <c r="X115" s="482"/>
      <c r="Y115" s="482"/>
      <c r="Z115" s="482"/>
      <c r="AA115" s="482"/>
      <c r="AB115" s="482"/>
      <c r="AC115" s="482"/>
      <c r="AD115" s="482"/>
      <c r="AE115" s="482"/>
      <c r="AF115" s="482"/>
      <c r="AG115" s="482"/>
      <c r="AH115" s="482"/>
      <c r="AI115" s="558"/>
      <c r="AJ115" s="482"/>
    </row>
    <row r="116" spans="1:36" x14ac:dyDescent="0.25">
      <c r="A116" s="534"/>
      <c r="B116" s="535"/>
      <c r="C116" s="556"/>
      <c r="D116" s="537"/>
      <c r="E116" s="538" t="s">
        <v>748</v>
      </c>
      <c r="F116" s="559" t="s">
        <v>411</v>
      </c>
      <c r="G116" s="560">
        <v>132</v>
      </c>
      <c r="H116" s="560"/>
      <c r="I116" s="541">
        <f t="shared" si="16"/>
        <v>132</v>
      </c>
      <c r="J116" s="543"/>
      <c r="K116" s="543"/>
      <c r="L116" s="543"/>
      <c r="M116" s="544"/>
      <c r="N116" s="545"/>
      <c r="O116" s="545"/>
      <c r="P116" s="545"/>
      <c r="Q116" s="545"/>
      <c r="R116" s="482"/>
      <c r="S116" s="482"/>
      <c r="T116" s="482"/>
      <c r="U116" s="482"/>
      <c r="V116" s="482"/>
      <c r="W116" s="482"/>
      <c r="X116" s="482"/>
      <c r="Y116" s="482"/>
      <c r="Z116" s="482"/>
      <c r="AA116" s="482"/>
      <c r="AB116" s="482"/>
      <c r="AC116" s="482"/>
      <c r="AD116" s="482"/>
      <c r="AE116" s="482"/>
      <c r="AF116" s="482"/>
      <c r="AG116" s="482"/>
      <c r="AH116" s="482"/>
      <c r="AI116" s="558"/>
      <c r="AJ116" s="482"/>
    </row>
    <row r="117" spans="1:36" x14ac:dyDescent="0.25">
      <c r="A117" s="534"/>
      <c r="B117" s="535"/>
      <c r="C117" s="556"/>
      <c r="D117" s="537"/>
      <c r="E117" s="538" t="s">
        <v>749</v>
      </c>
      <c r="F117" s="559" t="s">
        <v>648</v>
      </c>
      <c r="G117" s="560">
        <v>792</v>
      </c>
      <c r="H117" s="560"/>
      <c r="I117" s="541">
        <f t="shared" si="16"/>
        <v>792</v>
      </c>
      <c r="J117" s="543"/>
      <c r="K117" s="543"/>
      <c r="L117" s="543"/>
      <c r="M117" s="544"/>
      <c r="N117" s="545"/>
      <c r="O117" s="545"/>
      <c r="P117" s="545"/>
      <c r="Q117" s="545"/>
      <c r="R117" s="482"/>
      <c r="S117" s="482"/>
      <c r="T117" s="482"/>
      <c r="U117" s="482"/>
      <c r="V117" s="482"/>
      <c r="W117" s="482"/>
      <c r="X117" s="482"/>
      <c r="Y117" s="482"/>
      <c r="Z117" s="482"/>
      <c r="AA117" s="482"/>
      <c r="AB117" s="482"/>
      <c r="AC117" s="482"/>
      <c r="AD117" s="482"/>
      <c r="AE117" s="482"/>
      <c r="AF117" s="482"/>
      <c r="AG117" s="482"/>
      <c r="AH117" s="482"/>
      <c r="AI117" s="558"/>
      <c r="AJ117" s="482"/>
    </row>
    <row r="118" spans="1:36" x14ac:dyDescent="0.25">
      <c r="A118" s="534"/>
      <c r="B118" s="535"/>
      <c r="C118" s="556"/>
      <c r="D118" s="537"/>
      <c r="E118" s="538" t="s">
        <v>750</v>
      </c>
      <c r="F118" s="559" t="s">
        <v>649</v>
      </c>
      <c r="G118" s="560">
        <v>96</v>
      </c>
      <c r="H118" s="560"/>
      <c r="I118" s="541">
        <f t="shared" si="16"/>
        <v>96</v>
      </c>
      <c r="J118" s="543"/>
      <c r="K118" s="543"/>
      <c r="L118" s="543"/>
      <c r="M118" s="544"/>
      <c r="N118" s="545"/>
      <c r="O118" s="545"/>
      <c r="P118" s="545"/>
      <c r="Q118" s="545"/>
      <c r="R118" s="482"/>
      <c r="S118" s="482"/>
      <c r="T118" s="482"/>
      <c r="U118" s="482"/>
      <c r="V118" s="482"/>
      <c r="W118" s="482"/>
      <c r="X118" s="482"/>
      <c r="Y118" s="482"/>
      <c r="Z118" s="482"/>
      <c r="AA118" s="482"/>
      <c r="AB118" s="482"/>
      <c r="AC118" s="482"/>
      <c r="AD118" s="482"/>
      <c r="AE118" s="482"/>
      <c r="AF118" s="482"/>
      <c r="AG118" s="482"/>
      <c r="AH118" s="482"/>
      <c r="AI118" s="558"/>
      <c r="AJ118" s="482"/>
    </row>
    <row r="119" spans="1:36" x14ac:dyDescent="0.25">
      <c r="A119" s="534"/>
      <c r="B119" s="535"/>
      <c r="C119" s="556"/>
      <c r="D119" s="537"/>
      <c r="E119" s="538" t="s">
        <v>751</v>
      </c>
      <c r="F119" s="559" t="s">
        <v>752</v>
      </c>
      <c r="G119" s="560">
        <v>41</v>
      </c>
      <c r="H119" s="560"/>
      <c r="I119" s="541">
        <f t="shared" si="16"/>
        <v>41</v>
      </c>
      <c r="J119" s="543"/>
      <c r="K119" s="543"/>
      <c r="L119" s="543"/>
      <c r="M119" s="544"/>
      <c r="N119" s="545"/>
      <c r="O119" s="545"/>
      <c r="P119" s="545"/>
      <c r="Q119" s="545"/>
      <c r="R119" s="482"/>
      <c r="S119" s="482"/>
      <c r="T119" s="482"/>
      <c r="U119" s="482"/>
      <c r="V119" s="482"/>
      <c r="W119" s="482"/>
      <c r="X119" s="482"/>
      <c r="Y119" s="482"/>
      <c r="Z119" s="482"/>
      <c r="AA119" s="482"/>
      <c r="AB119" s="482"/>
      <c r="AC119" s="482"/>
      <c r="AD119" s="482"/>
      <c r="AE119" s="482"/>
      <c r="AF119" s="482"/>
      <c r="AG119" s="482"/>
      <c r="AH119" s="482"/>
      <c r="AI119" s="558"/>
      <c r="AJ119" s="482"/>
    </row>
    <row r="120" spans="1:36" x14ac:dyDescent="0.25">
      <c r="A120" s="534"/>
      <c r="B120" s="535"/>
      <c r="C120" s="556"/>
      <c r="D120" s="537"/>
      <c r="E120" s="538" t="s">
        <v>753</v>
      </c>
      <c r="F120" s="539" t="s">
        <v>754</v>
      </c>
      <c r="G120" s="540">
        <v>197.71</v>
      </c>
      <c r="H120" s="540"/>
      <c r="I120" s="541">
        <f t="shared" si="16"/>
        <v>197.71</v>
      </c>
      <c r="J120" s="543"/>
      <c r="K120" s="543"/>
      <c r="L120" s="543"/>
      <c r="M120" s="544"/>
      <c r="N120" s="545"/>
      <c r="O120" s="545"/>
      <c r="P120" s="545"/>
      <c r="Q120" s="545"/>
      <c r="R120" s="482"/>
      <c r="S120" s="482"/>
      <c r="T120" s="482"/>
      <c r="U120" s="482"/>
      <c r="V120" s="482"/>
      <c r="W120" s="482"/>
      <c r="X120" s="482"/>
      <c r="Y120" s="482"/>
      <c r="Z120" s="482"/>
      <c r="AA120" s="482"/>
      <c r="AB120" s="482"/>
      <c r="AC120" s="482"/>
      <c r="AD120" s="482"/>
      <c r="AE120" s="482"/>
      <c r="AF120" s="482"/>
      <c r="AG120" s="482"/>
      <c r="AH120" s="482"/>
      <c r="AI120" s="558"/>
      <c r="AJ120" s="482"/>
    </row>
    <row r="121" spans="1:36" ht="15.75" x14ac:dyDescent="0.25">
      <c r="A121" s="534"/>
      <c r="B121" s="561"/>
      <c r="C121" s="562" t="s">
        <v>710</v>
      </c>
      <c r="D121" s="563"/>
      <c r="E121" s="563"/>
      <c r="F121" s="563"/>
      <c r="G121" s="564">
        <f>SUM(G99:G120)</f>
        <v>233002.55600000004</v>
      </c>
      <c r="H121" s="564"/>
      <c r="I121" s="564"/>
      <c r="J121" s="543">
        <v>0</v>
      </c>
      <c r="K121" s="543">
        <v>1</v>
      </c>
      <c r="L121" s="543">
        <v>0</v>
      </c>
      <c r="M121" s="544">
        <f t="shared" ref="M121:M132" si="17">SUM(J121:L121)</f>
        <v>1</v>
      </c>
      <c r="N121" s="545">
        <f>+G130*J121</f>
        <v>0</v>
      </c>
      <c r="O121" s="545">
        <f>+G130*K121</f>
        <v>30000</v>
      </c>
      <c r="P121" s="545">
        <f>+G130*L121</f>
        <v>0</v>
      </c>
      <c r="Q121" s="545">
        <f t="shared" ref="Q121:Q132" si="18">SUM(N121:P121)</f>
        <v>30000</v>
      </c>
      <c r="R121"/>
    </row>
    <row r="122" spans="1:36" ht="27" customHeight="1" x14ac:dyDescent="0.25">
      <c r="A122" s="534"/>
      <c r="B122" s="536" t="s">
        <v>711</v>
      </c>
      <c r="C122" s="546" t="s">
        <v>755</v>
      </c>
      <c r="D122" s="551" t="s">
        <v>756</v>
      </c>
      <c r="E122" s="565" t="s">
        <v>757</v>
      </c>
      <c r="F122" s="552" t="s">
        <v>758</v>
      </c>
      <c r="G122" s="553">
        <f>'[3]Anexo de obras'!$F$24</f>
        <v>435226.55</v>
      </c>
      <c r="H122" s="553"/>
      <c r="I122" s="541">
        <f t="shared" si="16"/>
        <v>435226.55</v>
      </c>
      <c r="J122" s="543"/>
      <c r="K122" s="543"/>
      <c r="L122" s="543"/>
      <c r="M122" s="544"/>
      <c r="N122" s="545"/>
      <c r="O122" s="545"/>
      <c r="P122" s="545"/>
      <c r="Q122" s="545"/>
      <c r="R122"/>
    </row>
    <row r="123" spans="1:36" ht="27" customHeight="1" x14ac:dyDescent="0.25">
      <c r="A123" s="534"/>
      <c r="B123" s="536"/>
      <c r="C123" s="550"/>
      <c r="D123" s="551"/>
      <c r="E123" s="565" t="s">
        <v>759</v>
      </c>
      <c r="F123" s="552" t="s">
        <v>760</v>
      </c>
      <c r="G123" s="553">
        <v>1339598</v>
      </c>
      <c r="H123" s="553"/>
      <c r="I123" s="541">
        <f t="shared" si="16"/>
        <v>1339598</v>
      </c>
      <c r="J123" s="543"/>
      <c r="K123" s="543"/>
      <c r="L123" s="543"/>
      <c r="M123" s="544"/>
      <c r="N123" s="545"/>
      <c r="O123" s="545"/>
      <c r="P123" s="545"/>
      <c r="Q123" s="545"/>
      <c r="R123"/>
    </row>
    <row r="124" spans="1:36" ht="38.25" customHeight="1" x14ac:dyDescent="0.25">
      <c r="A124" s="534"/>
      <c r="B124" s="536"/>
      <c r="C124" s="550"/>
      <c r="D124" s="551"/>
      <c r="E124" s="566">
        <v>750104.64599999995</v>
      </c>
      <c r="F124" s="552" t="s">
        <v>761</v>
      </c>
      <c r="G124" s="553">
        <v>233102.46</v>
      </c>
      <c r="H124" s="553"/>
      <c r="I124" s="541">
        <f t="shared" si="16"/>
        <v>233102.46</v>
      </c>
      <c r="J124" s="543"/>
      <c r="K124" s="543"/>
      <c r="L124" s="543"/>
      <c r="M124" s="544"/>
      <c r="N124" s="545"/>
      <c r="O124" s="545"/>
      <c r="P124" s="545"/>
      <c r="Q124" s="545"/>
      <c r="R124"/>
    </row>
    <row r="125" spans="1:36" ht="39" customHeight="1" x14ac:dyDescent="0.25">
      <c r="A125" s="534"/>
      <c r="B125" s="536"/>
      <c r="C125" s="550"/>
      <c r="D125" s="551" t="s">
        <v>762</v>
      </c>
      <c r="E125" s="565" t="s">
        <v>763</v>
      </c>
      <c r="F125" s="552" t="s">
        <v>764</v>
      </c>
      <c r="G125" s="553">
        <f>'[3]Anexo de obras'!$F$40</f>
        <v>80000</v>
      </c>
      <c r="H125" s="553">
        <v>4050</v>
      </c>
      <c r="I125" s="541">
        <f t="shared" si="16"/>
        <v>84050</v>
      </c>
      <c r="J125" s="543">
        <v>0.3</v>
      </c>
      <c r="K125" s="543">
        <v>0.4</v>
      </c>
      <c r="L125" s="543">
        <v>0.3</v>
      </c>
      <c r="M125" s="544">
        <f t="shared" si="17"/>
        <v>1</v>
      </c>
      <c r="N125" s="545">
        <f t="shared" ref="N125:N131" si="19">+G125*J125</f>
        <v>24000</v>
      </c>
      <c r="O125" s="545">
        <f t="shared" ref="O125:O131" si="20">+G125*K125</f>
        <v>32000</v>
      </c>
      <c r="P125" s="545">
        <f t="shared" ref="P125:P131" si="21">+G125*L125</f>
        <v>24000</v>
      </c>
      <c r="Q125" s="545">
        <f t="shared" si="18"/>
        <v>80000</v>
      </c>
      <c r="R125"/>
    </row>
    <row r="126" spans="1:36" ht="39" customHeight="1" x14ac:dyDescent="0.25">
      <c r="A126" s="534"/>
      <c r="B126" s="536"/>
      <c r="C126" s="550"/>
      <c r="D126" s="551"/>
      <c r="E126" s="565" t="s">
        <v>765</v>
      </c>
      <c r="F126" s="552" t="s">
        <v>766</v>
      </c>
      <c r="G126" s="553">
        <v>20016.349999999999</v>
      </c>
      <c r="H126" s="553"/>
      <c r="I126" s="541">
        <f t="shared" si="16"/>
        <v>20016.349999999999</v>
      </c>
      <c r="J126" s="543"/>
      <c r="K126" s="543"/>
      <c r="L126" s="543"/>
      <c r="M126" s="544"/>
      <c r="N126" s="545"/>
      <c r="O126" s="545"/>
      <c r="P126" s="545"/>
      <c r="Q126" s="545"/>
      <c r="R126"/>
    </row>
    <row r="127" spans="1:36" ht="25.5" customHeight="1" x14ac:dyDescent="0.25">
      <c r="A127" s="534"/>
      <c r="B127" s="536"/>
      <c r="C127" s="550"/>
      <c r="D127" s="551"/>
      <c r="E127" s="565" t="s">
        <v>767</v>
      </c>
      <c r="F127" s="552" t="s">
        <v>768</v>
      </c>
      <c r="G127" s="553">
        <v>338256.94</v>
      </c>
      <c r="H127" s="553">
        <v>7000</v>
      </c>
      <c r="I127" s="541">
        <f t="shared" si="16"/>
        <v>345256.94</v>
      </c>
      <c r="J127" s="543"/>
      <c r="K127" s="543"/>
      <c r="L127" s="543"/>
      <c r="M127" s="544"/>
      <c r="N127" s="545"/>
      <c r="O127" s="545"/>
      <c r="P127" s="545"/>
      <c r="Q127" s="545"/>
      <c r="R127"/>
    </row>
    <row r="128" spans="1:36" ht="17.25" customHeight="1" x14ac:dyDescent="0.25">
      <c r="A128" s="534"/>
      <c r="B128" s="536"/>
      <c r="C128" s="550"/>
      <c r="D128" s="551"/>
      <c r="E128" s="538" t="s">
        <v>769</v>
      </c>
      <c r="F128" s="559" t="s">
        <v>770</v>
      </c>
      <c r="G128" s="553">
        <f>'[3]Anexo de obras'!$F$47</f>
        <v>15000</v>
      </c>
      <c r="H128" s="553">
        <v>28000</v>
      </c>
      <c r="I128" s="541">
        <f t="shared" si="16"/>
        <v>43000</v>
      </c>
      <c r="J128" s="543"/>
      <c r="K128" s="543"/>
      <c r="L128" s="543"/>
      <c r="M128" s="544"/>
      <c r="N128" s="545"/>
      <c r="O128" s="545"/>
      <c r="P128" s="545"/>
      <c r="Q128" s="545"/>
      <c r="R128"/>
    </row>
    <row r="129" spans="1:44" ht="29.25" customHeight="1" x14ac:dyDescent="0.25">
      <c r="A129" s="534"/>
      <c r="B129" s="536"/>
      <c r="C129" s="550"/>
      <c r="D129" s="551" t="s">
        <v>771</v>
      </c>
      <c r="E129" s="565" t="s">
        <v>772</v>
      </c>
      <c r="F129" s="559" t="s">
        <v>773</v>
      </c>
      <c r="G129" s="553">
        <f>'[3]Anexo de obras'!$F$54</f>
        <v>53800</v>
      </c>
      <c r="H129" s="553"/>
      <c r="I129" s="541">
        <f t="shared" si="16"/>
        <v>53800</v>
      </c>
      <c r="J129" s="543">
        <v>0.3</v>
      </c>
      <c r="K129" s="543">
        <v>0.4</v>
      </c>
      <c r="L129" s="543">
        <v>0.3</v>
      </c>
      <c r="M129" s="544">
        <f t="shared" si="17"/>
        <v>1</v>
      </c>
      <c r="N129" s="545">
        <f t="shared" si="19"/>
        <v>16140</v>
      </c>
      <c r="O129" s="545">
        <f t="shared" si="20"/>
        <v>21520</v>
      </c>
      <c r="P129" s="545">
        <f t="shared" si="21"/>
        <v>16140</v>
      </c>
      <c r="Q129" s="545">
        <f t="shared" si="18"/>
        <v>53800</v>
      </c>
      <c r="R129"/>
    </row>
    <row r="130" spans="1:44" ht="25.5" customHeight="1" x14ac:dyDescent="0.25">
      <c r="A130" s="534"/>
      <c r="B130" s="536"/>
      <c r="C130" s="550"/>
      <c r="D130" s="551" t="s">
        <v>774</v>
      </c>
      <c r="E130" s="565" t="s">
        <v>775</v>
      </c>
      <c r="F130" s="567" t="s">
        <v>776</v>
      </c>
      <c r="G130" s="553">
        <f>'[3]Anexo de obras'!$F$61</f>
        <v>30000</v>
      </c>
      <c r="H130" s="553"/>
      <c r="I130" s="541">
        <f t="shared" si="16"/>
        <v>30000</v>
      </c>
      <c r="J130" s="543">
        <v>0</v>
      </c>
      <c r="K130" s="543">
        <v>1</v>
      </c>
      <c r="L130" s="543">
        <v>0</v>
      </c>
      <c r="M130" s="544">
        <f t="shared" si="17"/>
        <v>1</v>
      </c>
      <c r="N130" s="545">
        <f>+G110*J130</f>
        <v>0</v>
      </c>
      <c r="O130" s="545">
        <f>+G110*K130</f>
        <v>66000</v>
      </c>
      <c r="P130" s="545">
        <f>+G110*L130</f>
        <v>0</v>
      </c>
      <c r="Q130" s="545">
        <f t="shared" si="18"/>
        <v>66000</v>
      </c>
      <c r="R130"/>
      <c r="S130" s="568" t="s">
        <v>777</v>
      </c>
    </row>
    <row r="131" spans="1:44" ht="18.75" customHeight="1" x14ac:dyDescent="0.25">
      <c r="A131" s="534"/>
      <c r="B131" s="536"/>
      <c r="C131" s="550"/>
      <c r="D131" s="551" t="s">
        <v>778</v>
      </c>
      <c r="E131" s="565" t="s">
        <v>779</v>
      </c>
      <c r="F131" s="559" t="s">
        <v>780</v>
      </c>
      <c r="G131" s="553">
        <v>500</v>
      </c>
      <c r="H131" s="553">
        <v>200</v>
      </c>
      <c r="I131" s="541">
        <f t="shared" si="16"/>
        <v>700</v>
      </c>
      <c r="J131" s="543">
        <v>1</v>
      </c>
      <c r="K131" s="543">
        <v>0</v>
      </c>
      <c r="L131" s="543">
        <v>0</v>
      </c>
      <c r="M131" s="544">
        <f t="shared" si="17"/>
        <v>1</v>
      </c>
      <c r="N131" s="545">
        <f t="shared" si="19"/>
        <v>500</v>
      </c>
      <c r="O131" s="545">
        <f t="shared" si="20"/>
        <v>0</v>
      </c>
      <c r="P131" s="545">
        <f t="shared" si="21"/>
        <v>0</v>
      </c>
      <c r="Q131" s="545">
        <f t="shared" si="18"/>
        <v>500</v>
      </c>
      <c r="R131"/>
    </row>
    <row r="132" spans="1:44" ht="25.5" customHeight="1" x14ac:dyDescent="0.25">
      <c r="A132" s="534"/>
      <c r="B132" s="536"/>
      <c r="C132" s="550"/>
      <c r="D132" s="569"/>
      <c r="E132" s="570" t="s">
        <v>781</v>
      </c>
      <c r="F132" s="571" t="s">
        <v>782</v>
      </c>
      <c r="G132" s="553">
        <f>'[3]Anexo de obras'!$F$70</f>
        <v>100000</v>
      </c>
      <c r="H132" s="553">
        <v>-10000</v>
      </c>
      <c r="I132" s="541">
        <f t="shared" si="16"/>
        <v>90000</v>
      </c>
      <c r="J132" s="543">
        <v>1</v>
      </c>
      <c r="K132" s="543">
        <v>0</v>
      </c>
      <c r="L132" s="543">
        <v>0</v>
      </c>
      <c r="M132" s="544">
        <f t="shared" si="17"/>
        <v>1</v>
      </c>
      <c r="N132" s="545">
        <f>+G80*J132</f>
        <v>56000</v>
      </c>
      <c r="O132" s="545">
        <f>+G80*K132</f>
        <v>0</v>
      </c>
      <c r="P132" s="545">
        <f>+G80*L132</f>
        <v>0</v>
      </c>
      <c r="Q132" s="545">
        <f t="shared" si="18"/>
        <v>56000</v>
      </c>
      <c r="R132"/>
    </row>
    <row r="133" spans="1:44" ht="18.75" x14ac:dyDescent="0.3">
      <c r="C133" s="519" t="s">
        <v>783</v>
      </c>
      <c r="D133" s="519"/>
      <c r="E133" s="519"/>
      <c r="F133" s="519"/>
      <c r="G133" s="572">
        <f>SUM(G122:G132)</f>
        <v>2645500.2999999998</v>
      </c>
      <c r="H133" s="573">
        <f>SUM(H9:H132)</f>
        <v>689334</v>
      </c>
      <c r="I133" s="573">
        <f>SUM(I9:I132)</f>
        <v>5993380.9079999989</v>
      </c>
      <c r="R133" s="574">
        <f>SUM(G122:G132)</f>
        <v>2645500.2999999998</v>
      </c>
      <c r="AR133" s="555">
        <f>+R133</f>
        <v>2645500.2999999998</v>
      </c>
    </row>
    <row r="134" spans="1:44" x14ac:dyDescent="0.25">
      <c r="AR134" s="555" t="e">
        <f>SUM(AR133,AI110,#REF!,#REF!)</f>
        <v>#REF!</v>
      </c>
    </row>
    <row r="135" spans="1:44" x14ac:dyDescent="0.25">
      <c r="G135" s="555">
        <f>SUM(G133,G121,G97,G93,G55,G42)</f>
        <v>5304046.9079999998</v>
      </c>
      <c r="H135" s="555">
        <f>+H133</f>
        <v>689334</v>
      </c>
      <c r="I135" s="555">
        <f>+G135+H135</f>
        <v>5993380.9079999998</v>
      </c>
    </row>
    <row r="136" spans="1:44" x14ac:dyDescent="0.25">
      <c r="F136" t="s">
        <v>784</v>
      </c>
      <c r="G136" s="555">
        <f>SUM(G111:G120)</f>
        <v>9445.0299999999988</v>
      </c>
      <c r="H136" s="555"/>
      <c r="I136" s="555"/>
    </row>
    <row r="137" spans="1:44" x14ac:dyDescent="0.25">
      <c r="G137" s="555">
        <f>+G135-G136</f>
        <v>5294601.8779999996</v>
      </c>
      <c r="H137" s="555"/>
      <c r="I137" s="555"/>
    </row>
  </sheetData>
  <mergeCells count="60">
    <mergeCell ref="AI111:AI120"/>
    <mergeCell ref="C121:F121"/>
    <mergeCell ref="B122:B132"/>
    <mergeCell ref="C122:C132"/>
    <mergeCell ref="C133:F133"/>
    <mergeCell ref="B97:F97"/>
    <mergeCell ref="A99:A132"/>
    <mergeCell ref="B99:B120"/>
    <mergeCell ref="C99:C104"/>
    <mergeCell ref="D99:D104"/>
    <mergeCell ref="C105:C108"/>
    <mergeCell ref="D105:D107"/>
    <mergeCell ref="C109:C110"/>
    <mergeCell ref="C111:C120"/>
    <mergeCell ref="D111:D120"/>
    <mergeCell ref="C81:C90"/>
    <mergeCell ref="C91:C92"/>
    <mergeCell ref="D91:D92"/>
    <mergeCell ref="B93:F93"/>
    <mergeCell ref="B94:B96"/>
    <mergeCell ref="C94:C96"/>
    <mergeCell ref="D94:D96"/>
    <mergeCell ref="C42:F42"/>
    <mergeCell ref="B43:B55"/>
    <mergeCell ref="C43:C52"/>
    <mergeCell ref="D43:D54"/>
    <mergeCell ref="C55:F55"/>
    <mergeCell ref="A56:A97"/>
    <mergeCell ref="B56:B92"/>
    <mergeCell ref="C56:C68"/>
    <mergeCell ref="D56:D90"/>
    <mergeCell ref="C69:C80"/>
    <mergeCell ref="J7:M7"/>
    <mergeCell ref="N7:Q7"/>
    <mergeCell ref="A9:A55"/>
    <mergeCell ref="B9:B42"/>
    <mergeCell ref="C9:C24"/>
    <mergeCell ref="D9:D41"/>
    <mergeCell ref="C25:C28"/>
    <mergeCell ref="C29:C32"/>
    <mergeCell ref="C33:C38"/>
    <mergeCell ref="C39:C40"/>
    <mergeCell ref="A6:G6"/>
    <mergeCell ref="J6:Q6"/>
    <mergeCell ref="A7:A8"/>
    <mergeCell ref="B7:B8"/>
    <mergeCell ref="C7:C8"/>
    <mergeCell ref="D7:D8"/>
    <mergeCell ref="E7:E8"/>
    <mergeCell ref="F7:F8"/>
    <mergeCell ref="G7:G8"/>
    <mergeCell ref="H7:I7"/>
    <mergeCell ref="D1:F1"/>
    <mergeCell ref="J1:Q1"/>
    <mergeCell ref="A2:B3"/>
    <mergeCell ref="D2:Q2"/>
    <mergeCell ref="D3:Q3"/>
    <mergeCell ref="A4:B5"/>
    <mergeCell ref="D4:Q4"/>
    <mergeCell ref="D5:Q5"/>
  </mergeCells>
  <pageMargins left="0.11811023622047245" right="0.11811023622047245" top="0.74803149606299213" bottom="0.74803149606299213" header="0.31496062992125984" footer="0.31496062992125984"/>
  <pageSetup paperSize="9" scale="4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740-4B34-4F8A-B576-8C9F9C3359BF}">
  <sheetPr>
    <pageSetUpPr fitToPage="1"/>
  </sheetPr>
  <dimension ref="A1:O29"/>
  <sheetViews>
    <sheetView zoomScale="55" zoomScaleNormal="55" workbookViewId="0">
      <selection activeCell="B21" sqref="B21:B27"/>
    </sheetView>
  </sheetViews>
  <sheetFormatPr baseColWidth="10" defaultRowHeight="15" x14ac:dyDescent="0.25"/>
  <cols>
    <col min="1" max="1" width="14.28515625" customWidth="1"/>
    <col min="2" max="2" width="32.85546875" customWidth="1"/>
    <col min="3" max="3" width="41.85546875" customWidth="1"/>
    <col min="4" max="4" width="30.7109375" customWidth="1"/>
    <col min="5" max="5" width="16.85546875" customWidth="1"/>
    <col min="6" max="6" width="44.42578125" customWidth="1"/>
    <col min="7" max="7" width="18.5703125" customWidth="1"/>
    <col min="8" max="8" width="7.28515625" customWidth="1"/>
    <col min="9" max="9" width="7" customWidth="1"/>
    <col min="10" max="10" width="8.28515625" customWidth="1"/>
    <col min="11" max="11" width="8.5703125" customWidth="1"/>
    <col min="12" max="12" width="11.140625" customWidth="1"/>
    <col min="13" max="13" width="10.85546875" customWidth="1"/>
    <col min="14" max="14" width="10.5703125" customWidth="1"/>
    <col min="15" max="15" width="13" customWidth="1"/>
  </cols>
  <sheetData>
    <row r="1" spans="1:15" ht="48" customHeight="1" x14ac:dyDescent="0.25">
      <c r="B1" s="16"/>
      <c r="C1" s="16" t="s">
        <v>0</v>
      </c>
      <c r="D1" s="91" t="s">
        <v>785</v>
      </c>
      <c r="E1" s="91"/>
      <c r="F1" s="91"/>
      <c r="G1" s="16" t="s">
        <v>1</v>
      </c>
      <c r="H1" s="75"/>
      <c r="I1" s="75"/>
      <c r="J1" s="75"/>
      <c r="K1" s="75"/>
      <c r="L1" s="75"/>
      <c r="M1" s="75"/>
      <c r="N1" s="75"/>
      <c r="O1" s="75"/>
    </row>
    <row r="2" spans="1:15" ht="15" customHeight="1" x14ac:dyDescent="0.25">
      <c r="A2" s="92" t="s">
        <v>91</v>
      </c>
      <c r="B2" s="92"/>
      <c r="C2" s="17" t="s">
        <v>6</v>
      </c>
      <c r="D2" s="156" t="s">
        <v>786</v>
      </c>
      <c r="E2" s="156"/>
      <c r="F2" s="156"/>
      <c r="G2" s="156"/>
      <c r="H2" s="156"/>
      <c r="I2" s="156"/>
      <c r="J2" s="156"/>
      <c r="K2" s="156"/>
      <c r="L2" s="156"/>
      <c r="M2" s="156"/>
      <c r="N2" s="156"/>
      <c r="O2" s="156"/>
    </row>
    <row r="3" spans="1:15" x14ac:dyDescent="0.25">
      <c r="A3" s="92"/>
      <c r="B3" s="92"/>
      <c r="C3" s="17" t="s">
        <v>7</v>
      </c>
      <c r="D3" s="156" t="s">
        <v>787</v>
      </c>
      <c r="E3" s="156"/>
      <c r="F3" s="156"/>
      <c r="G3" s="156"/>
      <c r="H3" s="156"/>
      <c r="I3" s="156"/>
      <c r="J3" s="156"/>
      <c r="K3" s="156"/>
      <c r="L3" s="156"/>
      <c r="M3" s="156"/>
      <c r="N3" s="156"/>
      <c r="O3" s="156"/>
    </row>
    <row r="4" spans="1:15" ht="15" customHeight="1" x14ac:dyDescent="0.25">
      <c r="A4" s="83" t="s">
        <v>92</v>
      </c>
      <c r="B4" s="83"/>
      <c r="C4" s="18" t="s">
        <v>8</v>
      </c>
      <c r="D4" s="84" t="s">
        <v>788</v>
      </c>
      <c r="E4" s="84"/>
      <c r="F4" s="84"/>
      <c r="G4" s="84"/>
      <c r="H4" s="84"/>
      <c r="I4" s="84"/>
      <c r="J4" s="84"/>
      <c r="K4" s="84"/>
      <c r="L4" s="84"/>
      <c r="M4" s="84"/>
      <c r="N4" s="84"/>
      <c r="O4" s="84"/>
    </row>
    <row r="5" spans="1:15" x14ac:dyDescent="0.25">
      <c r="A5" s="83"/>
      <c r="B5" s="83"/>
      <c r="C5" s="18" t="s">
        <v>9</v>
      </c>
      <c r="D5" s="156" t="s">
        <v>789</v>
      </c>
      <c r="E5" s="156"/>
      <c r="F5" s="156"/>
      <c r="G5" s="156"/>
      <c r="H5" s="156"/>
      <c r="I5" s="156"/>
      <c r="J5" s="156"/>
      <c r="K5" s="156"/>
      <c r="L5" s="156"/>
      <c r="M5" s="156"/>
      <c r="N5" s="156"/>
      <c r="O5" s="156"/>
    </row>
    <row r="6" spans="1:15" ht="15" customHeight="1" x14ac:dyDescent="0.25">
      <c r="A6" s="86" t="s">
        <v>2</v>
      </c>
      <c r="B6" s="87"/>
      <c r="C6" s="87"/>
      <c r="D6" s="87"/>
      <c r="E6" s="87"/>
      <c r="F6" s="87"/>
      <c r="G6" s="88"/>
      <c r="H6" s="89" t="s">
        <v>3</v>
      </c>
      <c r="I6" s="90"/>
      <c r="J6" s="90"/>
      <c r="K6" s="90"/>
      <c r="L6" s="90"/>
      <c r="M6" s="90"/>
      <c r="N6" s="90"/>
      <c r="O6" s="79"/>
    </row>
    <row r="7" spans="1:15" ht="15" customHeight="1" x14ac:dyDescent="0.25">
      <c r="A7" s="19"/>
      <c r="B7" s="19"/>
      <c r="C7" s="19"/>
      <c r="D7" s="19"/>
      <c r="E7" s="20"/>
      <c r="F7" s="19"/>
      <c r="G7" s="19"/>
      <c r="H7" s="79" t="s">
        <v>4</v>
      </c>
      <c r="I7" s="80"/>
      <c r="J7" s="80"/>
      <c r="K7" s="80"/>
      <c r="L7" s="80" t="s">
        <v>5</v>
      </c>
      <c r="M7" s="80"/>
      <c r="N7" s="80"/>
      <c r="O7" s="80"/>
    </row>
    <row r="8" spans="1:15" x14ac:dyDescent="0.25">
      <c r="A8" s="21" t="s">
        <v>10</v>
      </c>
      <c r="B8" s="21" t="s">
        <v>11</v>
      </c>
      <c r="C8" s="21" t="s">
        <v>12</v>
      </c>
      <c r="D8" s="21" t="s">
        <v>94</v>
      </c>
      <c r="E8" s="23" t="s">
        <v>13</v>
      </c>
      <c r="F8" s="21" t="s">
        <v>14</v>
      </c>
      <c r="G8" s="24" t="s">
        <v>95</v>
      </c>
      <c r="H8" s="25" t="s">
        <v>15</v>
      </c>
      <c r="I8" s="25" t="s">
        <v>16</v>
      </c>
      <c r="J8" s="25" t="s">
        <v>17</v>
      </c>
      <c r="K8" s="25" t="s">
        <v>18</v>
      </c>
      <c r="L8" s="25" t="s">
        <v>15</v>
      </c>
      <c r="M8" s="25" t="s">
        <v>16</v>
      </c>
      <c r="N8" s="25" t="s">
        <v>17</v>
      </c>
      <c r="O8" s="26" t="s">
        <v>18</v>
      </c>
    </row>
    <row r="9" spans="1:15" x14ac:dyDescent="0.25">
      <c r="A9" s="72" t="s">
        <v>790</v>
      </c>
      <c r="B9" s="72" t="s">
        <v>791</v>
      </c>
      <c r="C9" s="72" t="s">
        <v>792</v>
      </c>
      <c r="D9" s="75"/>
      <c r="E9" s="575">
        <v>510105</v>
      </c>
      <c r="F9" s="576" t="s">
        <v>83</v>
      </c>
      <c r="G9" s="577">
        <v>5100</v>
      </c>
      <c r="H9" s="578"/>
      <c r="I9" s="578"/>
      <c r="J9" s="578"/>
      <c r="K9" s="579"/>
      <c r="L9" s="580"/>
      <c r="M9" s="580"/>
      <c r="N9" s="580"/>
      <c r="O9" s="580"/>
    </row>
    <row r="10" spans="1:15" x14ac:dyDescent="0.25">
      <c r="A10" s="72"/>
      <c r="B10" s="72"/>
      <c r="C10" s="72"/>
      <c r="D10" s="75"/>
      <c r="E10" s="575">
        <v>510106</v>
      </c>
      <c r="F10" s="576" t="s">
        <v>793</v>
      </c>
      <c r="G10" s="577">
        <v>13342.56</v>
      </c>
      <c r="H10" s="578"/>
      <c r="I10" s="578"/>
      <c r="J10" s="578"/>
      <c r="K10" s="579"/>
      <c r="L10" s="580"/>
      <c r="M10" s="580"/>
      <c r="N10" s="580"/>
      <c r="O10" s="580"/>
    </row>
    <row r="11" spans="1:15" ht="15" customHeight="1" x14ac:dyDescent="0.25">
      <c r="A11" s="72"/>
      <c r="B11" s="72"/>
      <c r="C11" s="72"/>
      <c r="D11" s="75"/>
      <c r="E11" s="575">
        <v>510203</v>
      </c>
      <c r="F11" s="576" t="s">
        <v>84</v>
      </c>
      <c r="G11" s="577">
        <v>3173.88</v>
      </c>
      <c r="H11" s="578"/>
      <c r="I11" s="578"/>
      <c r="J11" s="578"/>
      <c r="K11" s="579"/>
      <c r="L11" s="580"/>
      <c r="M11" s="580"/>
      <c r="N11" s="580"/>
      <c r="O11" s="580"/>
    </row>
    <row r="12" spans="1:15" ht="15" customHeight="1" x14ac:dyDescent="0.25">
      <c r="A12" s="72"/>
      <c r="B12" s="72"/>
      <c r="C12" s="72"/>
      <c r="D12" s="75"/>
      <c r="E12" s="575">
        <v>510204</v>
      </c>
      <c r="F12" s="576" t="s">
        <v>85</v>
      </c>
      <c r="G12" s="577">
        <v>2125</v>
      </c>
      <c r="H12" s="578"/>
      <c r="I12" s="578"/>
      <c r="J12" s="578"/>
      <c r="K12" s="579"/>
      <c r="L12" s="580"/>
      <c r="M12" s="580"/>
      <c r="N12" s="580"/>
      <c r="O12" s="580"/>
    </row>
    <row r="13" spans="1:15" ht="15" customHeight="1" x14ac:dyDescent="0.25">
      <c r="A13" s="72"/>
      <c r="B13" s="72"/>
      <c r="C13" s="72"/>
      <c r="D13" s="75"/>
      <c r="E13" s="575">
        <v>510601</v>
      </c>
      <c r="F13" s="576" t="s">
        <v>86</v>
      </c>
      <c r="G13" s="577">
        <v>4550.5</v>
      </c>
      <c r="H13" s="578"/>
      <c r="I13" s="578"/>
      <c r="J13" s="578"/>
      <c r="K13" s="579"/>
      <c r="L13" s="580"/>
      <c r="M13" s="580"/>
      <c r="N13" s="580"/>
      <c r="O13" s="580"/>
    </row>
    <row r="14" spans="1:15" ht="15" customHeight="1" x14ac:dyDescent="0.25">
      <c r="A14" s="72"/>
      <c r="B14" s="72"/>
      <c r="C14" s="72"/>
      <c r="D14" s="75"/>
      <c r="E14" s="575">
        <v>510602</v>
      </c>
      <c r="F14" s="576" t="s">
        <v>87</v>
      </c>
      <c r="G14" s="577">
        <v>3173.88</v>
      </c>
      <c r="H14" s="578"/>
      <c r="I14" s="578"/>
      <c r="J14" s="578"/>
      <c r="K14" s="579"/>
      <c r="L14" s="580"/>
      <c r="M14" s="580"/>
      <c r="N14" s="580"/>
      <c r="O14" s="580"/>
    </row>
    <row r="15" spans="1:15" ht="19.5" customHeight="1" x14ac:dyDescent="0.25">
      <c r="A15" s="72"/>
      <c r="B15" s="72"/>
      <c r="C15" s="72"/>
      <c r="D15" s="75"/>
      <c r="E15" s="575">
        <v>510510</v>
      </c>
      <c r="F15" s="575" t="s">
        <v>20</v>
      </c>
      <c r="G15" s="577">
        <v>19644</v>
      </c>
      <c r="H15" s="578"/>
      <c r="I15" s="578"/>
      <c r="J15" s="578"/>
      <c r="K15" s="579"/>
      <c r="L15" s="580"/>
      <c r="M15" s="580"/>
      <c r="N15" s="580"/>
      <c r="O15" s="580"/>
    </row>
    <row r="16" spans="1:15" x14ac:dyDescent="0.25">
      <c r="A16" s="72"/>
      <c r="B16" s="72"/>
      <c r="C16" s="72"/>
      <c r="D16" s="75"/>
      <c r="E16" s="1">
        <v>510304</v>
      </c>
      <c r="F16" s="575" t="s">
        <v>411</v>
      </c>
      <c r="G16" s="577">
        <v>264</v>
      </c>
      <c r="H16" s="578"/>
      <c r="I16" s="578"/>
      <c r="J16" s="578"/>
      <c r="K16" s="579"/>
      <c r="L16" s="580"/>
      <c r="M16" s="580"/>
      <c r="N16" s="580"/>
      <c r="O16" s="580"/>
    </row>
    <row r="17" spans="1:15" x14ac:dyDescent="0.25">
      <c r="A17" s="72"/>
      <c r="B17" s="72"/>
      <c r="C17" s="72"/>
      <c r="D17" s="75"/>
      <c r="E17" s="1">
        <v>510306</v>
      </c>
      <c r="F17" s="575" t="s">
        <v>794</v>
      </c>
      <c r="G17" s="577">
        <v>1584</v>
      </c>
      <c r="H17" s="578"/>
      <c r="I17" s="578"/>
      <c r="J17" s="578"/>
      <c r="K17" s="579"/>
      <c r="L17" s="580"/>
      <c r="M17" s="580"/>
      <c r="N17" s="580"/>
      <c r="O17" s="580"/>
    </row>
    <row r="18" spans="1:15" x14ac:dyDescent="0.25">
      <c r="A18" s="72"/>
      <c r="B18" s="72"/>
      <c r="C18" s="72"/>
      <c r="D18" s="75"/>
      <c r="E18" s="1">
        <v>510401</v>
      </c>
      <c r="F18" s="575" t="s">
        <v>795</v>
      </c>
      <c r="G18" s="577">
        <v>189.12</v>
      </c>
      <c r="H18" s="578"/>
      <c r="I18" s="578"/>
      <c r="J18" s="578"/>
      <c r="K18" s="579"/>
      <c r="L18" s="580"/>
      <c r="M18" s="580"/>
      <c r="N18" s="580"/>
      <c r="O18" s="580"/>
    </row>
    <row r="19" spans="1:15" x14ac:dyDescent="0.25">
      <c r="A19" s="72"/>
      <c r="B19" s="72"/>
      <c r="C19" s="72"/>
      <c r="D19" s="75"/>
      <c r="E19" s="1">
        <v>510402</v>
      </c>
      <c r="F19" s="575" t="s">
        <v>796</v>
      </c>
      <c r="G19" s="577">
        <v>53.76</v>
      </c>
      <c r="H19" s="578"/>
      <c r="I19" s="578"/>
      <c r="J19" s="578"/>
      <c r="K19" s="579"/>
      <c r="L19" s="580"/>
      <c r="M19" s="580"/>
      <c r="N19" s="580"/>
      <c r="O19" s="580"/>
    </row>
    <row r="20" spans="1:15" x14ac:dyDescent="0.25">
      <c r="A20" s="72"/>
      <c r="B20" s="72"/>
      <c r="C20" s="72"/>
      <c r="D20" s="75"/>
      <c r="E20" s="1">
        <v>510408</v>
      </c>
      <c r="F20" s="575" t="s">
        <v>797</v>
      </c>
      <c r="G20" s="577">
        <v>312.95999999999998</v>
      </c>
      <c r="H20" s="578"/>
      <c r="I20" s="578"/>
      <c r="J20" s="578"/>
      <c r="K20" s="579"/>
      <c r="L20" s="580"/>
      <c r="M20" s="580"/>
      <c r="N20" s="580"/>
      <c r="O20" s="580"/>
    </row>
    <row r="21" spans="1:15" x14ac:dyDescent="0.25">
      <c r="A21" s="72"/>
      <c r="B21" s="74" t="s">
        <v>798</v>
      </c>
      <c r="C21" s="72" t="s">
        <v>799</v>
      </c>
      <c r="D21" s="75"/>
      <c r="E21" s="575">
        <v>510707</v>
      </c>
      <c r="F21" s="581" t="s">
        <v>800</v>
      </c>
      <c r="G21" s="577">
        <v>100</v>
      </c>
      <c r="H21" s="578">
        <v>0</v>
      </c>
      <c r="I21" s="578">
        <v>0</v>
      </c>
      <c r="J21" s="578">
        <v>1</v>
      </c>
      <c r="K21" s="579">
        <f t="shared" ref="K21:K27" si="0">SUM(H21:J21)</f>
        <v>1</v>
      </c>
      <c r="L21" s="580">
        <f t="shared" ref="L21:L27" si="1">+G21*H21</f>
        <v>0</v>
      </c>
      <c r="M21" s="580">
        <f t="shared" ref="M21:M27" si="2">+G21*I21</f>
        <v>0</v>
      </c>
      <c r="N21" s="580">
        <f t="shared" ref="N21:N27" si="3">+G21*J21</f>
        <v>100</v>
      </c>
      <c r="O21" s="580">
        <f t="shared" ref="O21:O27" si="4">SUM(L21:N21)</f>
        <v>100</v>
      </c>
    </row>
    <row r="22" spans="1:15" x14ac:dyDescent="0.25">
      <c r="A22" s="72"/>
      <c r="B22" s="74"/>
      <c r="C22" s="72"/>
      <c r="D22" s="75"/>
      <c r="E22" s="575">
        <v>530301</v>
      </c>
      <c r="F22" s="576" t="s">
        <v>801</v>
      </c>
      <c r="G22" s="577">
        <v>100</v>
      </c>
      <c r="H22" s="578">
        <v>0.2</v>
      </c>
      <c r="I22" s="578">
        <v>0.4</v>
      </c>
      <c r="J22" s="578">
        <v>0.4</v>
      </c>
      <c r="K22" s="579">
        <f t="shared" si="0"/>
        <v>1</v>
      </c>
      <c r="L22" s="580">
        <f t="shared" si="1"/>
        <v>20</v>
      </c>
      <c r="M22" s="580">
        <f t="shared" si="2"/>
        <v>40</v>
      </c>
      <c r="N22" s="580">
        <f t="shared" si="3"/>
        <v>40</v>
      </c>
      <c r="O22" s="580">
        <f t="shared" si="4"/>
        <v>100</v>
      </c>
    </row>
    <row r="23" spans="1:15" x14ac:dyDescent="0.25">
      <c r="A23" s="72"/>
      <c r="B23" s="74"/>
      <c r="C23" s="72"/>
      <c r="D23" s="75"/>
      <c r="E23" s="575">
        <v>510509</v>
      </c>
      <c r="F23" s="576" t="s">
        <v>802</v>
      </c>
      <c r="G23" s="577">
        <v>1500</v>
      </c>
      <c r="H23" s="578">
        <v>0.3</v>
      </c>
      <c r="I23" s="578">
        <v>0.35</v>
      </c>
      <c r="J23" s="578">
        <v>0.35</v>
      </c>
      <c r="K23" s="579">
        <f t="shared" si="0"/>
        <v>0.99999999999999989</v>
      </c>
      <c r="L23" s="580">
        <f t="shared" si="1"/>
        <v>450</v>
      </c>
      <c r="M23" s="580">
        <f t="shared" si="2"/>
        <v>525</v>
      </c>
      <c r="N23" s="580">
        <f t="shared" si="3"/>
        <v>525</v>
      </c>
      <c r="O23" s="580">
        <f t="shared" si="4"/>
        <v>1500</v>
      </c>
    </row>
    <row r="24" spans="1:15" x14ac:dyDescent="0.25">
      <c r="A24" s="72"/>
      <c r="B24" s="74"/>
      <c r="C24" s="72"/>
      <c r="D24" s="75"/>
      <c r="E24" s="575">
        <v>840103</v>
      </c>
      <c r="F24" s="576" t="s">
        <v>803</v>
      </c>
      <c r="G24" s="577">
        <v>300</v>
      </c>
      <c r="H24" s="578">
        <v>1</v>
      </c>
      <c r="I24" s="578">
        <v>0</v>
      </c>
      <c r="J24" s="578">
        <v>0</v>
      </c>
      <c r="K24" s="579">
        <f t="shared" si="0"/>
        <v>1</v>
      </c>
      <c r="L24" s="580">
        <f t="shared" si="1"/>
        <v>300</v>
      </c>
      <c r="M24" s="580">
        <f t="shared" si="2"/>
        <v>0</v>
      </c>
      <c r="N24" s="580">
        <f t="shared" si="3"/>
        <v>0</v>
      </c>
      <c r="O24" s="580">
        <f t="shared" si="4"/>
        <v>300</v>
      </c>
    </row>
    <row r="25" spans="1:15" x14ac:dyDescent="0.25">
      <c r="A25" s="72"/>
      <c r="B25" s="74"/>
      <c r="C25" s="72"/>
      <c r="D25" s="75"/>
      <c r="E25" s="575">
        <v>530804</v>
      </c>
      <c r="F25" s="576" t="s">
        <v>483</v>
      </c>
      <c r="G25" s="577">
        <v>500</v>
      </c>
      <c r="H25" s="578">
        <v>0.3</v>
      </c>
      <c r="I25" s="578">
        <v>0.35</v>
      </c>
      <c r="J25" s="578">
        <v>0.35</v>
      </c>
      <c r="K25" s="579">
        <f t="shared" si="0"/>
        <v>0.99999999999999989</v>
      </c>
      <c r="L25" s="580">
        <f t="shared" si="1"/>
        <v>150</v>
      </c>
      <c r="M25" s="580">
        <f t="shared" si="2"/>
        <v>175</v>
      </c>
      <c r="N25" s="580">
        <f t="shared" si="3"/>
        <v>175</v>
      </c>
      <c r="O25" s="580">
        <f t="shared" si="4"/>
        <v>500</v>
      </c>
    </row>
    <row r="26" spans="1:15" x14ac:dyDescent="0.25">
      <c r="A26" s="72"/>
      <c r="B26" s="74"/>
      <c r="C26" s="72"/>
      <c r="D26" s="75"/>
      <c r="E26" s="575">
        <v>530612</v>
      </c>
      <c r="F26" s="576" t="s">
        <v>804</v>
      </c>
      <c r="G26" s="582">
        <v>500</v>
      </c>
      <c r="H26" s="578">
        <v>0</v>
      </c>
      <c r="I26" s="578">
        <v>0.5</v>
      </c>
      <c r="J26" s="578">
        <v>0.5</v>
      </c>
      <c r="K26" s="579">
        <f t="shared" si="0"/>
        <v>1</v>
      </c>
      <c r="L26" s="580">
        <f t="shared" si="1"/>
        <v>0</v>
      </c>
      <c r="M26" s="580">
        <f t="shared" si="2"/>
        <v>250</v>
      </c>
      <c r="N26" s="580">
        <f t="shared" si="3"/>
        <v>250</v>
      </c>
      <c r="O26" s="580">
        <f t="shared" si="4"/>
        <v>500</v>
      </c>
    </row>
    <row r="27" spans="1:15" x14ac:dyDescent="0.25">
      <c r="A27" s="72"/>
      <c r="B27" s="74"/>
      <c r="C27" s="72"/>
      <c r="D27" s="75"/>
      <c r="E27" s="575">
        <v>530802</v>
      </c>
      <c r="F27" s="576" t="s">
        <v>805</v>
      </c>
      <c r="G27" s="577">
        <v>700</v>
      </c>
      <c r="H27" s="578">
        <v>1</v>
      </c>
      <c r="I27" s="578">
        <v>0</v>
      </c>
      <c r="J27" s="578">
        <v>0</v>
      </c>
      <c r="K27" s="579">
        <f t="shared" si="0"/>
        <v>1</v>
      </c>
      <c r="L27" s="580">
        <f t="shared" si="1"/>
        <v>700</v>
      </c>
      <c r="M27" s="580">
        <f t="shared" si="2"/>
        <v>0</v>
      </c>
      <c r="N27" s="580">
        <f t="shared" si="3"/>
        <v>0</v>
      </c>
      <c r="O27" s="580">
        <f t="shared" si="4"/>
        <v>700</v>
      </c>
    </row>
    <row r="28" spans="1:15" x14ac:dyDescent="0.25">
      <c r="G28" s="67">
        <f>SUM(G9:G27)</f>
        <v>57213.66</v>
      </c>
    </row>
    <row r="29" spans="1:15" ht="26.25" customHeight="1" x14ac:dyDescent="0.25"/>
  </sheetData>
  <mergeCells count="19">
    <mergeCell ref="D21:D27"/>
    <mergeCell ref="A6:G6"/>
    <mergeCell ref="H6:O6"/>
    <mergeCell ref="H7:K7"/>
    <mergeCell ref="L7:O7"/>
    <mergeCell ref="A9:A27"/>
    <mergeCell ref="B9:B20"/>
    <mergeCell ref="C9:C20"/>
    <mergeCell ref="D9:D20"/>
    <mergeCell ref="B21:B27"/>
    <mergeCell ref="C21:C27"/>
    <mergeCell ref="D1:F1"/>
    <mergeCell ref="H1:O1"/>
    <mergeCell ref="A2:B3"/>
    <mergeCell ref="D2:O2"/>
    <mergeCell ref="D3:O3"/>
    <mergeCell ref="A4:B5"/>
    <mergeCell ref="D4:O4"/>
    <mergeCell ref="D5:O5"/>
  </mergeCells>
  <pageMargins left="0.11811023622047245" right="0.11811023622047245" top="0.74803149606299213" bottom="0.74803149606299213" header="0.31496062992125984" footer="0.31496062992125984"/>
  <pageSetup paperSize="9" scale="3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CB00B-D02F-44D9-8404-EA7ED26B710E}">
  <sheetPr>
    <pageSetUpPr fitToPage="1"/>
  </sheetPr>
  <dimension ref="A1:X55"/>
  <sheetViews>
    <sheetView topLeftCell="C42" zoomScale="70" zoomScaleNormal="70" workbookViewId="0">
      <selection activeCell="F74" sqref="F74"/>
    </sheetView>
  </sheetViews>
  <sheetFormatPr baseColWidth="10" defaultRowHeight="15" x14ac:dyDescent="0.25"/>
  <cols>
    <col min="1" max="1" width="14.28515625" customWidth="1"/>
    <col min="2" max="2" width="32.85546875" customWidth="1"/>
    <col min="3" max="3" width="41.85546875" customWidth="1"/>
    <col min="4" max="4" width="30.7109375" customWidth="1"/>
    <col min="5" max="5" width="16.85546875" customWidth="1"/>
    <col min="6" max="6" width="44.42578125" customWidth="1"/>
    <col min="7" max="7" width="18.5703125" customWidth="1"/>
    <col min="8" max="8" width="6.140625" customWidth="1"/>
    <col min="9" max="9" width="7" customWidth="1"/>
    <col min="10" max="10" width="6.7109375" customWidth="1"/>
    <col min="11" max="11" width="7.140625" customWidth="1"/>
    <col min="12" max="12" width="11.140625" customWidth="1"/>
    <col min="13" max="13" width="10.85546875" customWidth="1"/>
    <col min="14" max="14" width="9.85546875" customWidth="1"/>
    <col min="15" max="15" width="13" customWidth="1"/>
    <col min="16" max="18" width="5.140625" hidden="1" customWidth="1"/>
    <col min="19" max="20" width="9.42578125" hidden="1" customWidth="1"/>
    <col min="21" max="21" width="8.85546875" hidden="1" customWidth="1"/>
    <col min="22" max="22" width="10.28515625" hidden="1" customWidth="1"/>
    <col min="23" max="24" width="0" hidden="1" customWidth="1"/>
  </cols>
  <sheetData>
    <row r="1" spans="1:15" ht="50.25" customHeight="1" x14ac:dyDescent="0.25">
      <c r="B1" s="16"/>
      <c r="C1" s="16" t="s">
        <v>0</v>
      </c>
      <c r="D1" s="91" t="s">
        <v>806</v>
      </c>
      <c r="E1" s="91"/>
      <c r="F1" s="91"/>
      <c r="G1" s="16" t="s">
        <v>1</v>
      </c>
      <c r="H1" s="75"/>
      <c r="I1" s="75"/>
      <c r="J1" s="75"/>
      <c r="K1" s="75"/>
      <c r="L1" s="75"/>
      <c r="M1" s="75"/>
      <c r="N1" s="75"/>
      <c r="O1" s="75"/>
    </row>
    <row r="2" spans="1:15" ht="15" customHeight="1" x14ac:dyDescent="0.25">
      <c r="A2" s="92" t="s">
        <v>91</v>
      </c>
      <c r="B2" s="92"/>
      <c r="C2" s="17" t="s">
        <v>6</v>
      </c>
      <c r="D2" s="85"/>
      <c r="E2" s="85"/>
      <c r="F2" s="85"/>
      <c r="G2" s="85"/>
      <c r="H2" s="85"/>
      <c r="I2" s="85"/>
      <c r="J2" s="85"/>
      <c r="K2" s="85"/>
      <c r="L2" s="85"/>
      <c r="M2" s="85"/>
      <c r="N2" s="85"/>
      <c r="O2" s="85"/>
    </row>
    <row r="3" spans="1:15" ht="31.5" customHeight="1" x14ac:dyDescent="0.25">
      <c r="A3" s="92"/>
      <c r="B3" s="92"/>
      <c r="C3" s="17" t="s">
        <v>7</v>
      </c>
      <c r="D3" s="583" t="s">
        <v>807</v>
      </c>
      <c r="E3" s="584"/>
      <c r="F3" s="584"/>
      <c r="G3" s="584"/>
      <c r="H3" s="584"/>
      <c r="I3" s="584"/>
      <c r="J3" s="584"/>
      <c r="K3" s="584"/>
      <c r="L3" s="584"/>
      <c r="M3" s="584"/>
      <c r="N3" s="584"/>
      <c r="O3" s="585"/>
    </row>
    <row r="4" spans="1:15" ht="15" customHeight="1" x14ac:dyDescent="0.25">
      <c r="A4" s="83" t="s">
        <v>92</v>
      </c>
      <c r="B4" s="83"/>
      <c r="C4" s="18" t="s">
        <v>8</v>
      </c>
      <c r="D4" s="84"/>
      <c r="E4" s="84"/>
      <c r="F4" s="84"/>
      <c r="G4" s="84"/>
      <c r="H4" s="84"/>
      <c r="I4" s="84"/>
      <c r="J4" s="84"/>
      <c r="K4" s="84"/>
      <c r="L4" s="84"/>
      <c r="M4" s="84"/>
      <c r="N4" s="84"/>
      <c r="O4" s="84"/>
    </row>
    <row r="5" spans="1:15" x14ac:dyDescent="0.25">
      <c r="A5" s="83"/>
      <c r="B5" s="83"/>
      <c r="C5" s="18" t="s">
        <v>9</v>
      </c>
      <c r="D5" s="85"/>
      <c r="E5" s="85"/>
      <c r="F5" s="85"/>
      <c r="G5" s="85"/>
      <c r="H5" s="85"/>
      <c r="I5" s="85"/>
      <c r="J5" s="85"/>
      <c r="K5" s="85"/>
      <c r="L5" s="85"/>
      <c r="M5" s="85"/>
      <c r="N5" s="85"/>
      <c r="O5" s="85"/>
    </row>
    <row r="6" spans="1:15" ht="15" customHeight="1" x14ac:dyDescent="0.25">
      <c r="A6" s="86" t="s">
        <v>2</v>
      </c>
      <c r="B6" s="87"/>
      <c r="C6" s="87"/>
      <c r="D6" s="87"/>
      <c r="E6" s="87"/>
      <c r="F6" s="87"/>
      <c r="G6" s="88"/>
      <c r="H6" s="89" t="s">
        <v>3</v>
      </c>
      <c r="I6" s="90"/>
      <c r="J6" s="90"/>
      <c r="K6" s="90"/>
      <c r="L6" s="90"/>
      <c r="M6" s="90"/>
      <c r="N6" s="90"/>
      <c r="O6" s="79"/>
    </row>
    <row r="7" spans="1:15" ht="24.75" customHeight="1" x14ac:dyDescent="0.25">
      <c r="A7" s="19"/>
      <c r="B7" s="19"/>
      <c r="C7" s="19"/>
      <c r="D7" s="19"/>
      <c r="E7" s="20"/>
      <c r="F7" s="19"/>
      <c r="G7" s="19"/>
      <c r="H7" s="79" t="s">
        <v>4</v>
      </c>
      <c r="I7" s="80"/>
      <c r="J7" s="80"/>
      <c r="K7" s="80"/>
      <c r="L7" s="80" t="s">
        <v>5</v>
      </c>
      <c r="M7" s="80"/>
      <c r="N7" s="80"/>
      <c r="O7" s="80"/>
    </row>
    <row r="8" spans="1:15" ht="21.75" customHeight="1" x14ac:dyDescent="0.25">
      <c r="A8" s="21" t="s">
        <v>10</v>
      </c>
      <c r="B8" s="21" t="s">
        <v>11</v>
      </c>
      <c r="C8" s="21" t="s">
        <v>12</v>
      </c>
      <c r="D8" s="21" t="s">
        <v>94</v>
      </c>
      <c r="E8" s="23" t="s">
        <v>13</v>
      </c>
      <c r="F8" s="21" t="s">
        <v>14</v>
      </c>
      <c r="G8" s="24" t="s">
        <v>95</v>
      </c>
      <c r="H8" s="25" t="s">
        <v>15</v>
      </c>
      <c r="I8" s="25" t="s">
        <v>16</v>
      </c>
      <c r="J8" s="25" t="s">
        <v>17</v>
      </c>
      <c r="K8" s="25" t="s">
        <v>18</v>
      </c>
      <c r="L8" s="25" t="s">
        <v>15</v>
      </c>
      <c r="M8" s="25" t="s">
        <v>16</v>
      </c>
      <c r="N8" s="25" t="s">
        <v>17</v>
      </c>
      <c r="O8" s="26" t="s">
        <v>18</v>
      </c>
    </row>
    <row r="9" spans="1:15" ht="21.75" customHeight="1" x14ac:dyDescent="0.25">
      <c r="A9" s="586"/>
      <c r="B9" s="587" t="s">
        <v>808</v>
      </c>
      <c r="C9" s="586"/>
      <c r="D9" s="587" t="s">
        <v>809</v>
      </c>
      <c r="E9" s="588"/>
      <c r="F9" s="588" t="s">
        <v>810</v>
      </c>
      <c r="G9" s="589">
        <v>26712</v>
      </c>
      <c r="H9" s="590">
        <v>0.25</v>
      </c>
      <c r="I9" s="591"/>
      <c r="J9" s="591"/>
      <c r="K9" s="591"/>
      <c r="L9" s="591"/>
      <c r="M9" s="591"/>
      <c r="N9" s="591"/>
      <c r="O9" s="592"/>
    </row>
    <row r="10" spans="1:15" ht="21.75" customHeight="1" x14ac:dyDescent="0.25">
      <c r="A10" s="586"/>
      <c r="B10" s="593"/>
      <c r="C10" s="586"/>
      <c r="D10" s="593"/>
      <c r="E10" s="588"/>
      <c r="F10" s="588" t="s">
        <v>479</v>
      </c>
      <c r="G10" s="589">
        <v>2792.5</v>
      </c>
      <c r="H10" s="590"/>
      <c r="I10" s="591"/>
      <c r="J10" s="591"/>
      <c r="K10" s="591"/>
      <c r="L10" s="591"/>
      <c r="M10" s="591"/>
      <c r="N10" s="591"/>
      <c r="O10" s="592"/>
    </row>
    <row r="11" spans="1:15" ht="21.75" customHeight="1" x14ac:dyDescent="0.25">
      <c r="A11" s="586"/>
      <c r="B11" s="593"/>
      <c r="C11" s="586"/>
      <c r="D11" s="593"/>
      <c r="E11" s="588"/>
      <c r="F11" s="588" t="s">
        <v>480</v>
      </c>
      <c r="G11" s="589">
        <v>850</v>
      </c>
      <c r="H11" s="590"/>
      <c r="I11" s="591"/>
      <c r="J11" s="591"/>
      <c r="K11" s="591"/>
      <c r="L11" s="591"/>
      <c r="M11" s="591"/>
      <c r="N11" s="591"/>
      <c r="O11" s="592"/>
    </row>
    <row r="12" spans="1:15" ht="21.75" customHeight="1" x14ac:dyDescent="0.25">
      <c r="A12" s="586"/>
      <c r="B12" s="593"/>
      <c r="C12" s="586"/>
      <c r="D12" s="593"/>
      <c r="E12" s="588"/>
      <c r="F12" s="588" t="s">
        <v>481</v>
      </c>
      <c r="G12" s="589">
        <v>3903.92</v>
      </c>
      <c r="H12" s="590"/>
      <c r="I12" s="591"/>
      <c r="J12" s="591"/>
      <c r="K12" s="591"/>
      <c r="L12" s="591"/>
      <c r="M12" s="591"/>
      <c r="N12" s="591"/>
      <c r="O12" s="592"/>
    </row>
    <row r="13" spans="1:15" ht="21.75" customHeight="1" x14ac:dyDescent="0.25">
      <c r="A13" s="586"/>
      <c r="B13" s="593"/>
      <c r="C13" s="586"/>
      <c r="D13" s="593"/>
      <c r="E13" s="588"/>
      <c r="F13" s="588" t="s">
        <v>482</v>
      </c>
      <c r="G13" s="589">
        <v>2792.5</v>
      </c>
      <c r="H13" s="590"/>
      <c r="I13" s="591"/>
      <c r="J13" s="591"/>
      <c r="K13" s="591"/>
      <c r="L13" s="591"/>
      <c r="M13" s="591"/>
      <c r="N13" s="591"/>
      <c r="O13" s="592"/>
    </row>
    <row r="14" spans="1:15" ht="21.75" customHeight="1" x14ac:dyDescent="0.25">
      <c r="A14" s="586"/>
      <c r="B14" s="593"/>
      <c r="C14" s="586"/>
      <c r="D14" s="593"/>
      <c r="E14" s="588"/>
      <c r="F14" s="588" t="s">
        <v>20</v>
      </c>
      <c r="G14" s="589">
        <v>6798</v>
      </c>
      <c r="H14" s="590"/>
      <c r="I14" s="591"/>
      <c r="J14" s="591"/>
      <c r="K14" s="591"/>
      <c r="L14" s="591"/>
      <c r="M14" s="591"/>
      <c r="N14" s="591"/>
      <c r="O14" s="592"/>
    </row>
    <row r="15" spans="1:15" ht="21.75" customHeight="1" x14ac:dyDescent="0.25">
      <c r="A15" s="586"/>
      <c r="B15" s="593"/>
      <c r="C15" s="586"/>
      <c r="D15" s="593"/>
      <c r="E15" s="588">
        <v>530301</v>
      </c>
      <c r="F15" s="588" t="s">
        <v>811</v>
      </c>
      <c r="G15" s="589">
        <v>100</v>
      </c>
      <c r="H15" s="590"/>
      <c r="I15" s="591"/>
      <c r="J15" s="591"/>
      <c r="K15" s="591"/>
      <c r="L15" s="591"/>
      <c r="M15" s="591"/>
      <c r="N15" s="591"/>
      <c r="O15" s="592"/>
    </row>
    <row r="16" spans="1:15" ht="21.75" customHeight="1" x14ac:dyDescent="0.25">
      <c r="A16" s="586"/>
      <c r="B16" s="593"/>
      <c r="C16" s="586"/>
      <c r="D16" s="593"/>
      <c r="E16" s="588">
        <v>530301</v>
      </c>
      <c r="F16" s="588" t="s">
        <v>812</v>
      </c>
      <c r="G16" s="589">
        <v>150</v>
      </c>
      <c r="H16" s="590">
        <v>0.25</v>
      </c>
      <c r="I16" s="591"/>
      <c r="J16" s="591"/>
      <c r="K16" s="591"/>
      <c r="L16" s="591"/>
      <c r="M16" s="591"/>
      <c r="N16" s="591"/>
      <c r="O16" s="592"/>
    </row>
    <row r="17" spans="1:15" ht="21.75" customHeight="1" x14ac:dyDescent="0.25">
      <c r="A17" s="586"/>
      <c r="B17" s="593"/>
      <c r="C17" s="586"/>
      <c r="D17" s="593"/>
      <c r="E17" s="588">
        <v>530303</v>
      </c>
      <c r="F17" s="588" t="s">
        <v>813</v>
      </c>
      <c r="G17" s="589">
        <v>400</v>
      </c>
      <c r="H17" s="590">
        <v>0.25</v>
      </c>
      <c r="I17" s="591"/>
      <c r="J17" s="591"/>
      <c r="K17" s="591"/>
      <c r="L17" s="591"/>
      <c r="M17" s="591"/>
      <c r="N17" s="591"/>
      <c r="O17" s="592"/>
    </row>
    <row r="18" spans="1:15" ht="21.75" customHeight="1" x14ac:dyDescent="0.25">
      <c r="A18" s="586"/>
      <c r="B18" s="593"/>
      <c r="C18" s="586"/>
      <c r="D18" s="593"/>
      <c r="E18" s="588">
        <v>530804</v>
      </c>
      <c r="F18" s="588" t="s">
        <v>814</v>
      </c>
      <c r="G18" s="589">
        <v>200</v>
      </c>
      <c r="H18" s="590">
        <v>0.25</v>
      </c>
      <c r="I18" s="591"/>
      <c r="J18" s="591"/>
      <c r="K18" s="591"/>
      <c r="L18" s="591"/>
      <c r="M18" s="591"/>
      <c r="N18" s="591"/>
      <c r="O18" s="592"/>
    </row>
    <row r="19" spans="1:15" ht="21.75" customHeight="1" x14ac:dyDescent="0.25">
      <c r="A19" s="586"/>
      <c r="B19" s="593"/>
      <c r="C19" s="586"/>
      <c r="D19" s="593"/>
      <c r="E19" s="588">
        <v>560106</v>
      </c>
      <c r="F19" s="588" t="s">
        <v>815</v>
      </c>
      <c r="G19" s="589">
        <v>5000</v>
      </c>
      <c r="H19" s="590">
        <v>0.25</v>
      </c>
      <c r="I19" s="591"/>
      <c r="J19" s="591"/>
      <c r="K19" s="591"/>
      <c r="L19" s="591"/>
      <c r="M19" s="591"/>
      <c r="N19" s="591"/>
      <c r="O19" s="592"/>
    </row>
    <row r="20" spans="1:15" ht="21.75" customHeight="1" x14ac:dyDescent="0.25">
      <c r="A20" s="586"/>
      <c r="B20" s="593"/>
      <c r="C20" s="586"/>
      <c r="D20" s="593"/>
      <c r="E20" s="588">
        <v>570201</v>
      </c>
      <c r="F20" s="594" t="s">
        <v>38</v>
      </c>
      <c r="G20" s="589">
        <v>1500</v>
      </c>
      <c r="H20" s="590">
        <v>0.25</v>
      </c>
      <c r="I20" s="591"/>
      <c r="J20" s="591"/>
      <c r="K20" s="591"/>
      <c r="L20" s="591"/>
      <c r="M20" s="591"/>
      <c r="N20" s="591"/>
      <c r="O20" s="592"/>
    </row>
    <row r="21" spans="1:15" ht="21.75" customHeight="1" x14ac:dyDescent="0.25">
      <c r="A21" s="586"/>
      <c r="B21" s="593"/>
      <c r="C21" s="586"/>
      <c r="D21" s="593"/>
      <c r="E21" s="588">
        <v>570203</v>
      </c>
      <c r="F21" s="594" t="s">
        <v>816</v>
      </c>
      <c r="G21" s="589">
        <v>2900</v>
      </c>
      <c r="H21" s="590">
        <v>0.25</v>
      </c>
      <c r="I21" s="591"/>
      <c r="J21" s="591"/>
      <c r="K21" s="591"/>
      <c r="L21" s="591"/>
      <c r="M21" s="591"/>
      <c r="N21" s="591"/>
      <c r="O21" s="592"/>
    </row>
    <row r="22" spans="1:15" ht="21.75" customHeight="1" x14ac:dyDescent="0.25">
      <c r="A22" s="586"/>
      <c r="B22" s="593"/>
      <c r="C22" s="586"/>
      <c r="D22" s="593"/>
      <c r="E22" s="588">
        <v>840103</v>
      </c>
      <c r="F22" s="594" t="s">
        <v>28</v>
      </c>
      <c r="G22" s="589">
        <v>300</v>
      </c>
      <c r="H22" s="590">
        <v>0.25</v>
      </c>
      <c r="I22" s="591"/>
      <c r="J22" s="591"/>
      <c r="K22" s="591"/>
      <c r="L22" s="591"/>
      <c r="M22" s="591"/>
      <c r="N22" s="591"/>
      <c r="O22" s="592"/>
    </row>
    <row r="23" spans="1:15" ht="21.75" customHeight="1" x14ac:dyDescent="0.25">
      <c r="A23" s="586"/>
      <c r="B23" s="595"/>
      <c r="C23" s="586"/>
      <c r="D23" s="595"/>
      <c r="E23" s="588">
        <v>510707</v>
      </c>
      <c r="F23" s="594" t="s">
        <v>52</v>
      </c>
      <c r="G23" s="589">
        <v>1500</v>
      </c>
      <c r="H23" s="590">
        <v>0.25</v>
      </c>
      <c r="I23" s="591"/>
      <c r="J23" s="591"/>
      <c r="K23" s="591"/>
      <c r="L23" s="591"/>
      <c r="M23" s="591"/>
      <c r="N23" s="591"/>
      <c r="O23" s="592"/>
    </row>
    <row r="24" spans="1:15" ht="21.75" customHeight="1" x14ac:dyDescent="0.25">
      <c r="A24" s="586"/>
      <c r="B24" s="596" t="s">
        <v>817</v>
      </c>
      <c r="C24" s="586"/>
      <c r="D24" s="586"/>
      <c r="E24" s="597"/>
      <c r="F24" s="597" t="s">
        <v>810</v>
      </c>
      <c r="G24" s="589">
        <v>42120</v>
      </c>
      <c r="H24" s="590">
        <v>1</v>
      </c>
      <c r="I24" s="591"/>
      <c r="J24" s="591"/>
      <c r="K24" s="591"/>
      <c r="L24" s="591"/>
      <c r="M24" s="591"/>
      <c r="N24" s="591"/>
      <c r="O24" s="592"/>
    </row>
    <row r="25" spans="1:15" ht="21.75" customHeight="1" x14ac:dyDescent="0.25">
      <c r="A25" s="586"/>
      <c r="B25" s="598"/>
      <c r="C25" s="586"/>
      <c r="D25" s="586"/>
      <c r="E25" s="597"/>
      <c r="F25" s="597" t="s">
        <v>479</v>
      </c>
      <c r="G25" s="589">
        <v>3510</v>
      </c>
      <c r="H25" s="590"/>
      <c r="I25" s="591"/>
      <c r="J25" s="591"/>
      <c r="K25" s="591"/>
      <c r="L25" s="591"/>
      <c r="M25" s="591"/>
      <c r="N25" s="591"/>
      <c r="O25" s="592"/>
    </row>
    <row r="26" spans="1:15" ht="21.75" customHeight="1" x14ac:dyDescent="0.25">
      <c r="A26" s="586"/>
      <c r="B26" s="598"/>
      <c r="C26" s="586"/>
      <c r="D26" s="586"/>
      <c r="E26" s="597"/>
      <c r="F26" s="597" t="s">
        <v>480</v>
      </c>
      <c r="G26" s="589">
        <v>1275</v>
      </c>
      <c r="H26" s="590"/>
      <c r="I26" s="591"/>
      <c r="J26" s="591"/>
      <c r="K26" s="591"/>
      <c r="L26" s="591"/>
      <c r="M26" s="591"/>
      <c r="N26" s="591"/>
      <c r="O26" s="592"/>
    </row>
    <row r="27" spans="1:15" ht="21.75" customHeight="1" x14ac:dyDescent="0.25">
      <c r="A27" s="586"/>
      <c r="B27" s="598"/>
      <c r="C27" s="586"/>
      <c r="D27" s="586"/>
      <c r="E27" s="597"/>
      <c r="F27" s="597" t="s">
        <v>481</v>
      </c>
      <c r="G27" s="589">
        <v>4906.9799999999996</v>
      </c>
      <c r="H27" s="590"/>
      <c r="I27" s="591"/>
      <c r="J27" s="591"/>
      <c r="K27" s="591"/>
      <c r="L27" s="591"/>
      <c r="M27" s="591"/>
      <c r="N27" s="591"/>
      <c r="O27" s="592"/>
    </row>
    <row r="28" spans="1:15" ht="21.75" customHeight="1" x14ac:dyDescent="0.25">
      <c r="A28" s="586"/>
      <c r="B28" s="598"/>
      <c r="C28" s="586"/>
      <c r="D28" s="586"/>
      <c r="E28" s="597"/>
      <c r="F28" s="597" t="s">
        <v>482</v>
      </c>
      <c r="G28" s="589">
        <v>3510</v>
      </c>
      <c r="H28" s="590"/>
      <c r="I28" s="591"/>
      <c r="J28" s="591"/>
      <c r="K28" s="591"/>
      <c r="L28" s="591"/>
      <c r="M28" s="591"/>
      <c r="N28" s="591"/>
      <c r="O28" s="592"/>
    </row>
    <row r="29" spans="1:15" ht="21.75" customHeight="1" x14ac:dyDescent="0.25">
      <c r="A29" s="586"/>
      <c r="B29" s="598"/>
      <c r="C29" s="586"/>
      <c r="D29" s="586"/>
      <c r="E29" s="597">
        <v>530301</v>
      </c>
      <c r="F29" s="597" t="s">
        <v>812</v>
      </c>
      <c r="G29" s="589">
        <v>200</v>
      </c>
      <c r="H29" s="590"/>
      <c r="I29" s="591"/>
      <c r="J29" s="591"/>
      <c r="K29" s="591"/>
      <c r="L29" s="591"/>
      <c r="M29" s="591"/>
      <c r="N29" s="591"/>
      <c r="O29" s="592"/>
    </row>
    <row r="30" spans="1:15" ht="21.75" customHeight="1" x14ac:dyDescent="0.25">
      <c r="A30" s="586"/>
      <c r="B30" s="598"/>
      <c r="C30" s="586"/>
      <c r="D30" s="586"/>
      <c r="E30" s="597">
        <v>530303</v>
      </c>
      <c r="F30" s="597" t="s">
        <v>813</v>
      </c>
      <c r="G30" s="589">
        <v>600</v>
      </c>
      <c r="H30" s="590">
        <v>1</v>
      </c>
      <c r="I30" s="591"/>
      <c r="J30" s="591"/>
      <c r="K30" s="591"/>
      <c r="L30" s="591"/>
      <c r="M30" s="591"/>
      <c r="N30" s="591"/>
      <c r="O30" s="592"/>
    </row>
    <row r="31" spans="1:15" ht="21.75" customHeight="1" x14ac:dyDescent="0.25">
      <c r="A31" s="586"/>
      <c r="B31" s="598"/>
      <c r="C31" s="586"/>
      <c r="D31" s="586"/>
      <c r="E31" s="597">
        <v>530804</v>
      </c>
      <c r="F31" s="597" t="s">
        <v>814</v>
      </c>
      <c r="G31" s="589">
        <v>720</v>
      </c>
      <c r="H31" s="590">
        <v>1</v>
      </c>
      <c r="I31" s="591"/>
      <c r="J31" s="591"/>
      <c r="K31" s="591"/>
      <c r="L31" s="591"/>
      <c r="M31" s="591"/>
      <c r="N31" s="591"/>
      <c r="O31" s="592"/>
    </row>
    <row r="32" spans="1:15" ht="21.75" customHeight="1" x14ac:dyDescent="0.25">
      <c r="A32" s="586"/>
      <c r="B32" s="599"/>
      <c r="C32" s="586"/>
      <c r="D32" s="586"/>
      <c r="E32" s="597">
        <v>840103</v>
      </c>
      <c r="F32" s="600" t="s">
        <v>28</v>
      </c>
      <c r="G32" s="589">
        <v>700</v>
      </c>
      <c r="H32" s="590">
        <v>1</v>
      </c>
      <c r="I32" s="591"/>
      <c r="J32" s="591"/>
      <c r="K32" s="591"/>
      <c r="L32" s="591"/>
      <c r="M32" s="591"/>
      <c r="N32" s="591"/>
      <c r="O32" s="592"/>
    </row>
    <row r="33" spans="1:15" ht="21.75" customHeight="1" x14ac:dyDescent="0.25">
      <c r="A33" s="586"/>
      <c r="B33" s="601" t="s">
        <v>818</v>
      </c>
      <c r="C33" s="586"/>
      <c r="D33" s="586"/>
      <c r="E33" s="602"/>
      <c r="F33" s="602" t="s">
        <v>810</v>
      </c>
      <c r="G33" s="589">
        <v>9804</v>
      </c>
      <c r="H33" s="590">
        <v>1</v>
      </c>
      <c r="I33" s="591"/>
      <c r="J33" s="591"/>
      <c r="K33" s="591"/>
      <c r="L33" s="591"/>
      <c r="M33" s="591"/>
      <c r="N33" s="591"/>
      <c r="O33" s="592"/>
    </row>
    <row r="34" spans="1:15" ht="21.75" customHeight="1" x14ac:dyDescent="0.25">
      <c r="A34" s="586"/>
      <c r="B34" s="603"/>
      <c r="C34" s="586"/>
      <c r="D34" s="586"/>
      <c r="E34" s="602"/>
      <c r="F34" s="602" t="s">
        <v>479</v>
      </c>
      <c r="G34" s="589">
        <v>817</v>
      </c>
      <c r="H34" s="590"/>
      <c r="I34" s="591"/>
      <c r="J34" s="591"/>
      <c r="K34" s="591"/>
      <c r="L34" s="591"/>
      <c r="M34" s="591"/>
      <c r="N34" s="591"/>
      <c r="O34" s="592"/>
    </row>
    <row r="35" spans="1:15" ht="21.75" customHeight="1" x14ac:dyDescent="0.25">
      <c r="A35" s="586"/>
      <c r="B35" s="603"/>
      <c r="C35" s="586"/>
      <c r="D35" s="586"/>
      <c r="E35" s="602"/>
      <c r="F35" s="602" t="s">
        <v>480</v>
      </c>
      <c r="G35" s="589">
        <v>425</v>
      </c>
      <c r="H35" s="590"/>
      <c r="I35" s="591"/>
      <c r="J35" s="591"/>
      <c r="K35" s="591"/>
      <c r="L35" s="591"/>
      <c r="M35" s="591"/>
      <c r="N35" s="591"/>
      <c r="O35" s="592"/>
    </row>
    <row r="36" spans="1:15" ht="21.75" customHeight="1" x14ac:dyDescent="0.25">
      <c r="A36" s="586"/>
      <c r="B36" s="603"/>
      <c r="C36" s="586"/>
      <c r="D36" s="586"/>
      <c r="E36" s="604"/>
      <c r="F36" s="605" t="s">
        <v>481</v>
      </c>
      <c r="G36" s="589">
        <v>1142.17</v>
      </c>
      <c r="H36" s="590"/>
      <c r="I36" s="591"/>
      <c r="J36" s="591"/>
      <c r="K36" s="591"/>
      <c r="L36" s="591"/>
      <c r="M36" s="591"/>
      <c r="N36" s="591"/>
      <c r="O36" s="592"/>
    </row>
    <row r="37" spans="1:15" ht="21.75" customHeight="1" x14ac:dyDescent="0.25">
      <c r="A37" s="586"/>
      <c r="B37" s="603"/>
      <c r="C37" s="586"/>
      <c r="D37" s="586"/>
      <c r="E37" s="604"/>
      <c r="F37" s="605" t="s">
        <v>482</v>
      </c>
      <c r="G37" s="589">
        <v>817</v>
      </c>
      <c r="H37" s="590"/>
      <c r="I37" s="591"/>
      <c r="J37" s="591"/>
      <c r="K37" s="591"/>
      <c r="L37" s="591"/>
      <c r="M37" s="591"/>
      <c r="N37" s="591"/>
      <c r="O37" s="592"/>
    </row>
    <row r="38" spans="1:15" ht="21.75" customHeight="1" x14ac:dyDescent="0.25">
      <c r="A38" s="586"/>
      <c r="B38" s="603"/>
      <c r="C38" s="586"/>
      <c r="D38" s="586"/>
      <c r="E38" s="602">
        <v>530301</v>
      </c>
      <c r="F38" s="602" t="s">
        <v>811</v>
      </c>
      <c r="G38" s="589">
        <v>100</v>
      </c>
      <c r="H38" s="590"/>
      <c r="I38" s="591"/>
      <c r="J38" s="591"/>
      <c r="K38" s="591"/>
      <c r="L38" s="591"/>
      <c r="M38" s="591"/>
      <c r="N38" s="591"/>
      <c r="O38" s="592"/>
    </row>
    <row r="39" spans="1:15" ht="21.75" customHeight="1" x14ac:dyDescent="0.25">
      <c r="A39" s="586"/>
      <c r="B39" s="603"/>
      <c r="C39" s="586"/>
      <c r="D39" s="586"/>
      <c r="E39" s="602">
        <v>530301</v>
      </c>
      <c r="F39" s="602" t="s">
        <v>812</v>
      </c>
      <c r="G39" s="589">
        <v>50</v>
      </c>
      <c r="H39" s="590">
        <v>1</v>
      </c>
      <c r="I39" s="591"/>
      <c r="J39" s="591"/>
      <c r="K39" s="591"/>
      <c r="L39" s="591"/>
      <c r="M39" s="591"/>
      <c r="N39" s="591"/>
      <c r="O39" s="592"/>
    </row>
    <row r="40" spans="1:15" ht="21.75" customHeight="1" x14ac:dyDescent="0.25">
      <c r="A40" s="586"/>
      <c r="B40" s="603"/>
      <c r="C40" s="586"/>
      <c r="D40" s="586"/>
      <c r="E40" s="602">
        <v>530303</v>
      </c>
      <c r="F40" s="602" t="s">
        <v>813</v>
      </c>
      <c r="G40" s="589">
        <v>100</v>
      </c>
      <c r="H40" s="590">
        <v>1</v>
      </c>
      <c r="I40" s="591"/>
      <c r="J40" s="591"/>
      <c r="K40" s="591"/>
      <c r="L40" s="591"/>
      <c r="M40" s="591"/>
      <c r="N40" s="591"/>
      <c r="O40" s="592"/>
    </row>
    <row r="41" spans="1:15" ht="21.75" customHeight="1" x14ac:dyDescent="0.25">
      <c r="A41" s="586"/>
      <c r="B41" s="606"/>
      <c r="C41" s="586"/>
      <c r="D41" s="586"/>
      <c r="E41" s="602">
        <v>530804</v>
      </c>
      <c r="F41" s="602" t="s">
        <v>814</v>
      </c>
      <c r="G41" s="589">
        <v>100</v>
      </c>
      <c r="H41" s="590">
        <v>1</v>
      </c>
      <c r="I41" s="591"/>
      <c r="J41" s="591"/>
      <c r="K41" s="591"/>
      <c r="L41" s="591"/>
      <c r="M41" s="591"/>
      <c r="N41" s="591"/>
      <c r="O41" s="592"/>
    </row>
    <row r="42" spans="1:15" ht="21.75" customHeight="1" x14ac:dyDescent="0.25">
      <c r="A42" s="586"/>
      <c r="B42" s="607" t="s">
        <v>819</v>
      </c>
      <c r="C42" s="586"/>
      <c r="D42" s="586"/>
      <c r="E42" s="608"/>
      <c r="F42" s="608" t="s">
        <v>810</v>
      </c>
      <c r="G42" s="589">
        <v>16944</v>
      </c>
      <c r="H42" s="590">
        <v>1</v>
      </c>
      <c r="I42" s="591"/>
      <c r="J42" s="591"/>
      <c r="K42" s="591"/>
      <c r="L42" s="591"/>
      <c r="M42" s="591"/>
      <c r="N42" s="591"/>
      <c r="O42" s="592"/>
    </row>
    <row r="43" spans="1:15" ht="21.75" customHeight="1" x14ac:dyDescent="0.25">
      <c r="A43" s="586"/>
      <c r="B43" s="609"/>
      <c r="C43" s="586"/>
      <c r="D43" s="586"/>
      <c r="E43" s="608"/>
      <c r="F43" s="608" t="s">
        <v>479</v>
      </c>
      <c r="G43" s="589">
        <v>1978.5</v>
      </c>
      <c r="H43" s="590"/>
      <c r="I43" s="591"/>
      <c r="J43" s="591"/>
      <c r="K43" s="591"/>
      <c r="L43" s="591"/>
      <c r="M43" s="591"/>
      <c r="N43" s="591"/>
      <c r="O43" s="592"/>
    </row>
    <row r="44" spans="1:15" ht="21.75" customHeight="1" x14ac:dyDescent="0.25">
      <c r="A44" s="586"/>
      <c r="B44" s="609"/>
      <c r="C44" s="586"/>
      <c r="D44" s="586"/>
      <c r="E44" s="608"/>
      <c r="F44" s="608" t="s">
        <v>480</v>
      </c>
      <c r="G44" s="589">
        <v>850</v>
      </c>
      <c r="H44" s="590"/>
      <c r="I44" s="591"/>
      <c r="J44" s="591"/>
      <c r="K44" s="591"/>
      <c r="L44" s="591"/>
      <c r="M44" s="591"/>
      <c r="N44" s="591"/>
      <c r="O44" s="592"/>
    </row>
    <row r="45" spans="1:15" ht="21.75" customHeight="1" x14ac:dyDescent="0.25">
      <c r="A45" s="586"/>
      <c r="B45" s="609"/>
      <c r="C45" s="586"/>
      <c r="D45" s="586"/>
      <c r="E45" s="608"/>
      <c r="F45" s="608" t="s">
        <v>481</v>
      </c>
      <c r="G45" s="589">
        <v>2765.94</v>
      </c>
      <c r="H45" s="590"/>
      <c r="I45" s="591"/>
      <c r="J45" s="591"/>
      <c r="K45" s="591"/>
      <c r="L45" s="591"/>
      <c r="M45" s="591"/>
      <c r="N45" s="591"/>
      <c r="O45" s="592"/>
    </row>
    <row r="46" spans="1:15" ht="21.75" customHeight="1" x14ac:dyDescent="0.25">
      <c r="A46" s="586"/>
      <c r="B46" s="609"/>
      <c r="C46" s="586"/>
      <c r="D46" s="586"/>
      <c r="E46" s="608"/>
      <c r="F46" s="608" t="s">
        <v>482</v>
      </c>
      <c r="G46" s="589">
        <v>1978.5</v>
      </c>
      <c r="H46" s="590"/>
      <c r="I46" s="591"/>
      <c r="J46" s="591"/>
      <c r="K46" s="591"/>
      <c r="L46" s="591"/>
      <c r="M46" s="591"/>
      <c r="N46" s="591"/>
      <c r="O46" s="592"/>
    </row>
    <row r="47" spans="1:15" ht="21.75" customHeight="1" x14ac:dyDescent="0.25">
      <c r="A47" s="586"/>
      <c r="B47" s="609"/>
      <c r="C47" s="586"/>
      <c r="D47" s="586"/>
      <c r="E47" s="608"/>
      <c r="F47" s="608" t="s">
        <v>20</v>
      </c>
      <c r="G47" s="589">
        <v>6798</v>
      </c>
      <c r="H47" s="590"/>
      <c r="I47" s="591"/>
      <c r="J47" s="591"/>
      <c r="K47" s="591"/>
      <c r="L47" s="591"/>
      <c r="M47" s="591"/>
      <c r="N47" s="591"/>
      <c r="O47" s="592"/>
    </row>
    <row r="48" spans="1:15" ht="21.75" customHeight="1" x14ac:dyDescent="0.25">
      <c r="A48" s="586"/>
      <c r="B48" s="609"/>
      <c r="C48" s="586"/>
      <c r="D48" s="586"/>
      <c r="E48" s="608">
        <v>530301</v>
      </c>
      <c r="F48" s="608" t="s">
        <v>812</v>
      </c>
      <c r="G48" s="589">
        <v>50</v>
      </c>
      <c r="H48" s="590"/>
      <c r="I48" s="591"/>
      <c r="J48" s="591"/>
      <c r="K48" s="591"/>
      <c r="L48" s="591"/>
      <c r="M48" s="591"/>
      <c r="N48" s="591"/>
      <c r="O48" s="592"/>
    </row>
    <row r="49" spans="1:24" ht="21.75" customHeight="1" x14ac:dyDescent="0.25">
      <c r="A49" s="586"/>
      <c r="B49" s="609"/>
      <c r="C49" s="586"/>
      <c r="D49" s="586"/>
      <c r="E49" s="608">
        <v>530303</v>
      </c>
      <c r="F49" s="608" t="s">
        <v>813</v>
      </c>
      <c r="G49" s="589">
        <v>150</v>
      </c>
      <c r="H49" s="590">
        <v>1</v>
      </c>
      <c r="I49" s="591"/>
      <c r="J49" s="591"/>
      <c r="K49" s="591"/>
      <c r="L49" s="591"/>
      <c r="M49" s="591"/>
      <c r="N49" s="591"/>
      <c r="O49" s="592"/>
    </row>
    <row r="50" spans="1:24" x14ac:dyDescent="0.25">
      <c r="A50" s="610"/>
      <c r="B50" s="609"/>
      <c r="C50" s="610"/>
      <c r="D50" s="610"/>
      <c r="E50" s="608">
        <v>530804</v>
      </c>
      <c r="F50" s="608" t="s">
        <v>814</v>
      </c>
      <c r="G50" s="589">
        <v>265</v>
      </c>
      <c r="H50" s="590">
        <v>1</v>
      </c>
      <c r="I50" s="610"/>
      <c r="J50" s="610"/>
      <c r="K50" s="610"/>
      <c r="L50" s="610"/>
      <c r="M50" s="610"/>
      <c r="N50" s="610"/>
    </row>
    <row r="51" spans="1:24" ht="15" customHeight="1" x14ac:dyDescent="0.25">
      <c r="A51" s="187"/>
      <c r="B51" s="611"/>
      <c r="C51" s="187"/>
      <c r="D51" s="187"/>
      <c r="E51" s="608">
        <v>840103</v>
      </c>
      <c r="F51" s="612" t="s">
        <v>28</v>
      </c>
      <c r="G51" s="589">
        <v>200</v>
      </c>
      <c r="H51" s="590">
        <v>1</v>
      </c>
      <c r="I51" s="187"/>
      <c r="J51" s="187"/>
      <c r="K51" s="187"/>
      <c r="L51" s="187"/>
      <c r="M51" s="187"/>
      <c r="N51" s="187"/>
      <c r="O51" s="187"/>
      <c r="P51" s="187"/>
      <c r="Q51" s="187"/>
      <c r="R51" s="187"/>
      <c r="S51" s="187"/>
      <c r="T51" s="187"/>
      <c r="U51" s="187"/>
      <c r="V51" s="187"/>
      <c r="W51" s="187"/>
      <c r="X51" s="187"/>
    </row>
    <row r="52" spans="1:24" ht="15" customHeight="1" x14ac:dyDescent="0.25">
      <c r="A52" s="613"/>
      <c r="B52" s="613"/>
      <c r="C52" s="613"/>
      <c r="D52" s="613"/>
      <c r="E52" s="613"/>
      <c r="F52" s="613"/>
      <c r="G52" s="614">
        <f>SUM(G9:G51)</f>
        <v>158776.01</v>
      </c>
      <c r="H52" s="613"/>
      <c r="I52" s="613"/>
      <c r="J52" s="613"/>
      <c r="K52" s="613"/>
      <c r="L52" s="613"/>
      <c r="M52" s="613"/>
      <c r="N52" s="613"/>
      <c r="O52" s="613"/>
      <c r="P52" s="613"/>
      <c r="Q52" s="613"/>
      <c r="R52" s="613"/>
      <c r="S52" s="613"/>
      <c r="T52" s="613"/>
      <c r="U52" s="613"/>
      <c r="V52" s="613"/>
      <c r="W52" s="613"/>
      <c r="X52" s="613"/>
    </row>
    <row r="55" spans="1:24" x14ac:dyDescent="0.25">
      <c r="G55">
        <v>158776</v>
      </c>
    </row>
  </sheetData>
  <mergeCells count="17">
    <mergeCell ref="B24:B32"/>
    <mergeCell ref="B33:B41"/>
    <mergeCell ref="B42:B51"/>
    <mergeCell ref="A6:G6"/>
    <mergeCell ref="H6:O6"/>
    <mergeCell ref="H7:K7"/>
    <mergeCell ref="L7:O7"/>
    <mergeCell ref="B9:B23"/>
    <mergeCell ref="D9:D23"/>
    <mergeCell ref="D1:F1"/>
    <mergeCell ref="H1:O1"/>
    <mergeCell ref="A2:B3"/>
    <mergeCell ref="D2:O2"/>
    <mergeCell ref="D3:O3"/>
    <mergeCell ref="A4:B5"/>
    <mergeCell ref="D4:O4"/>
    <mergeCell ref="D5:O5"/>
  </mergeCells>
  <pageMargins left="0.11811023622047245" right="0.11811023622047245" top="0.74803149606299213" bottom="0.7480314960629921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DIRECCIÓN ADMINISTRATIVA</vt:lpstr>
      <vt:lpstr>COMUNICACION</vt:lpstr>
      <vt:lpstr>JUNTA CANTONAL</vt:lpstr>
      <vt:lpstr>PLANIFICACION Y RIESGOS</vt:lpstr>
      <vt:lpstr>DESARROLLO SOCIAL</vt:lpstr>
      <vt:lpstr>AMBIENTE Y FOMENTO</vt:lpstr>
      <vt:lpstr>OBRAS PUBLICAS</vt:lpstr>
      <vt:lpstr>COMISARIA</vt:lpstr>
      <vt:lpstr>FINANCIERO</vt:lpstr>
      <vt:lpstr>AGUA</vt:lpstr>
      <vt:lpstr>ALCANTARILLADO</vt:lpstr>
      <vt:lpstr> UECTD</vt:lpstr>
      <vt:lpstr>UNIDAD DE PROYECTOS</vt:lpstr>
      <vt:lpstr>'DIRECCIÓN ADMINISTRATIVA'!Área_de_impresión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Ivan</dc:creator>
  <cp:lastModifiedBy>GADMLI</cp:lastModifiedBy>
  <cp:lastPrinted>2021-12-03T15:18:43Z</cp:lastPrinted>
  <dcterms:created xsi:type="dcterms:W3CDTF">2021-08-26T13:03:46Z</dcterms:created>
  <dcterms:modified xsi:type="dcterms:W3CDTF">2023-03-13T14:25:49Z</dcterms:modified>
</cp:coreProperties>
</file>